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1475" windowHeight="5445"/>
  </bookViews>
  <sheets>
    <sheet name="Форма 2" sheetId="1" r:id="rId1"/>
    <sheet name="2019" sheetId="8" r:id="rId2"/>
    <sheet name="2020" sheetId="9" r:id="rId3"/>
    <sheet name="2021" sheetId="10" r:id="rId4"/>
  </sheets>
  <definedNames>
    <definedName name="OLE_LINK1" localSheetId="0">'Форма 2'!$A$1</definedName>
    <definedName name="_xlnm.Print_Area" localSheetId="1">'2019'!$A$1:$L$61</definedName>
    <definedName name="_xlnm.Print_Area" localSheetId="0">'Форма 2'!$A$1:$F$143</definedName>
  </definedNames>
  <calcPr calcId="125725"/>
</workbook>
</file>

<file path=xl/calcChain.xml><?xml version="1.0" encoding="utf-8"?>
<calcChain xmlns="http://schemas.openxmlformats.org/spreadsheetml/2006/main">
  <c r="F128" i="1"/>
  <c r="F129"/>
  <c r="F127"/>
  <c r="F121"/>
  <c r="F122"/>
  <c r="F120"/>
  <c r="F109"/>
  <c r="F110"/>
  <c r="F111"/>
  <c r="F97"/>
  <c r="F98"/>
  <c r="F96"/>
  <c r="F81"/>
  <c r="F82"/>
  <c r="F80"/>
  <c r="F79"/>
  <c r="E8" l="1"/>
  <c r="F8"/>
  <c r="E15"/>
  <c r="F15"/>
  <c r="E22"/>
  <c r="F22"/>
  <c r="E31"/>
  <c r="F31"/>
  <c r="E38"/>
  <c r="E29" s="1"/>
  <c r="F38"/>
  <c r="E44"/>
  <c r="E42" s="1"/>
  <c r="F44"/>
  <c r="E51"/>
  <c r="F51"/>
  <c r="E55"/>
  <c r="F55"/>
  <c r="E62"/>
  <c r="F62"/>
  <c r="E70"/>
  <c r="F70"/>
  <c r="E77"/>
  <c r="F77"/>
  <c r="F84"/>
  <c r="E84"/>
  <c r="E91"/>
  <c r="E100"/>
  <c r="F100"/>
  <c r="E104"/>
  <c r="E113"/>
  <c r="F113"/>
  <c r="E117"/>
  <c r="F117"/>
  <c r="E124"/>
  <c r="F131"/>
  <c r="E131"/>
  <c r="E137" s="1"/>
  <c r="E143" s="1"/>
  <c r="D128"/>
  <c r="D129"/>
  <c r="D127"/>
  <c r="D121"/>
  <c r="D122"/>
  <c r="D120"/>
  <c r="D110"/>
  <c r="D111"/>
  <c r="D109"/>
  <c r="D98"/>
  <c r="D97"/>
  <c r="D96"/>
  <c r="D80"/>
  <c r="D81"/>
  <c r="D82"/>
  <c r="D79"/>
  <c r="D75"/>
  <c r="D73"/>
  <c r="F42" l="1"/>
  <c r="F29"/>
  <c r="G16" i="8"/>
  <c r="F16"/>
  <c r="E49" i="10" l="1"/>
  <c r="F49"/>
  <c r="G49"/>
  <c r="H49"/>
  <c r="D49"/>
  <c r="E48"/>
  <c r="F48"/>
  <c r="G48"/>
  <c r="H48"/>
  <c r="D48"/>
  <c r="E47"/>
  <c r="F47"/>
  <c r="G47"/>
  <c r="H47"/>
  <c r="D47"/>
  <c r="E46"/>
  <c r="F46"/>
  <c r="G46"/>
  <c r="H46"/>
  <c r="D46"/>
  <c r="E43" l="1"/>
  <c r="F43"/>
  <c r="G43"/>
  <c r="B43" s="1"/>
  <c r="H43"/>
  <c r="D43"/>
  <c r="E41"/>
  <c r="F41"/>
  <c r="F39" s="1"/>
  <c r="G41"/>
  <c r="H41"/>
  <c r="D41"/>
  <c r="E37"/>
  <c r="F37"/>
  <c r="G37"/>
  <c r="H37"/>
  <c r="D37"/>
  <c r="E36"/>
  <c r="F36"/>
  <c r="G36"/>
  <c r="H36"/>
  <c r="D36"/>
  <c r="E35"/>
  <c r="F35"/>
  <c r="G35"/>
  <c r="H35"/>
  <c r="D35"/>
  <c r="E31"/>
  <c r="F31"/>
  <c r="G31"/>
  <c r="H31"/>
  <c r="H27" s="1"/>
  <c r="D31"/>
  <c r="E30"/>
  <c r="F30"/>
  <c r="G30"/>
  <c r="H30"/>
  <c r="D30"/>
  <c r="E29"/>
  <c r="F29"/>
  <c r="G29"/>
  <c r="H29"/>
  <c r="D29"/>
  <c r="E28"/>
  <c r="F28"/>
  <c r="B28" s="1"/>
  <c r="G28"/>
  <c r="H28"/>
  <c r="D28"/>
  <c r="E25"/>
  <c r="F25"/>
  <c r="G25"/>
  <c r="H25"/>
  <c r="D25"/>
  <c r="E24"/>
  <c r="F24"/>
  <c r="G24"/>
  <c r="H24"/>
  <c r="D24"/>
  <c r="E23"/>
  <c r="F23"/>
  <c r="B23" s="1"/>
  <c r="G23"/>
  <c r="H23"/>
  <c r="D23"/>
  <c r="E22"/>
  <c r="F22"/>
  <c r="G22"/>
  <c r="H22"/>
  <c r="D22"/>
  <c r="D21" s="1"/>
  <c r="E19"/>
  <c r="F19"/>
  <c r="G19"/>
  <c r="H19"/>
  <c r="D19"/>
  <c r="E18"/>
  <c r="F18"/>
  <c r="B18" s="1"/>
  <c r="G18"/>
  <c r="H18"/>
  <c r="D18"/>
  <c r="E17"/>
  <c r="F17"/>
  <c r="B17" s="1"/>
  <c r="G17"/>
  <c r="H17"/>
  <c r="D17"/>
  <c r="E16"/>
  <c r="F16"/>
  <c r="G16"/>
  <c r="H16"/>
  <c r="D16"/>
  <c r="E13"/>
  <c r="F13"/>
  <c r="G13"/>
  <c r="H13"/>
  <c r="D13"/>
  <c r="E12"/>
  <c r="F12"/>
  <c r="G12"/>
  <c r="H12"/>
  <c r="D12"/>
  <c r="E11"/>
  <c r="F11"/>
  <c r="B11" s="1"/>
  <c r="G11"/>
  <c r="H11"/>
  <c r="D11"/>
  <c r="E10"/>
  <c r="F10"/>
  <c r="G10"/>
  <c r="H10"/>
  <c r="D10"/>
  <c r="J56"/>
  <c r="C56"/>
  <c r="B55"/>
  <c r="B54"/>
  <c r="B53"/>
  <c r="L52"/>
  <c r="B52"/>
  <c r="L51"/>
  <c r="L56" s="1"/>
  <c r="K51"/>
  <c r="K56" s="1"/>
  <c r="J51"/>
  <c r="I51"/>
  <c r="I56" s="1"/>
  <c r="B49"/>
  <c r="B48"/>
  <c r="H45"/>
  <c r="H56" s="1"/>
  <c r="B47"/>
  <c r="D45"/>
  <c r="G45"/>
  <c r="G56" s="1"/>
  <c r="F45"/>
  <c r="F56" s="1"/>
  <c r="E45"/>
  <c r="E56" s="1"/>
  <c r="B42"/>
  <c r="H39"/>
  <c r="B40"/>
  <c r="E39"/>
  <c r="B37"/>
  <c r="D33"/>
  <c r="B35"/>
  <c r="B34"/>
  <c r="F33"/>
  <c r="E33"/>
  <c r="B31"/>
  <c r="B30"/>
  <c r="B29"/>
  <c r="E27"/>
  <c r="D27"/>
  <c r="B25"/>
  <c r="H21"/>
  <c r="E21"/>
  <c r="B19"/>
  <c r="H15"/>
  <c r="E15"/>
  <c r="E9"/>
  <c r="H9"/>
  <c r="H49" i="8"/>
  <c r="D49"/>
  <c r="H43"/>
  <c r="D43"/>
  <c r="H37"/>
  <c r="D37"/>
  <c r="H31"/>
  <c r="D31"/>
  <c r="H25"/>
  <c r="D25"/>
  <c r="H19"/>
  <c r="D19"/>
  <c r="H13"/>
  <c r="D13"/>
  <c r="H48"/>
  <c r="D48"/>
  <c r="H36"/>
  <c r="D36"/>
  <c r="H30"/>
  <c r="D30"/>
  <c r="H24"/>
  <c r="D24"/>
  <c r="H18"/>
  <c r="D18"/>
  <c r="H12"/>
  <c r="D12"/>
  <c r="F12"/>
  <c r="E12"/>
  <c r="G12"/>
  <c r="D47"/>
  <c r="H47"/>
  <c r="H41"/>
  <c r="D41"/>
  <c r="E41"/>
  <c r="F41"/>
  <c r="G41"/>
  <c r="G39" i="10" l="1"/>
  <c r="B41"/>
  <c r="G33"/>
  <c r="H33"/>
  <c r="G27"/>
  <c r="F27"/>
  <c r="B27" s="1"/>
  <c r="F21"/>
  <c r="B24"/>
  <c r="G21"/>
  <c r="B21" s="1"/>
  <c r="G15"/>
  <c r="F15"/>
  <c r="B16"/>
  <c r="B13"/>
  <c r="G9"/>
  <c r="B9" s="1"/>
  <c r="B12"/>
  <c r="D9"/>
  <c r="F9"/>
  <c r="D56"/>
  <c r="B45"/>
  <c r="B33"/>
  <c r="D15"/>
  <c r="D39"/>
  <c r="B39" s="1"/>
  <c r="B36"/>
  <c r="B46"/>
  <c r="B51"/>
  <c r="B10"/>
  <c r="B22"/>
  <c r="H35" i="8"/>
  <c r="D35"/>
  <c r="H29"/>
  <c r="D29"/>
  <c r="H28"/>
  <c r="D28"/>
  <c r="E28"/>
  <c r="F28"/>
  <c r="G28"/>
  <c r="H23"/>
  <c r="D23"/>
  <c r="H17"/>
  <c r="D17"/>
  <c r="H11"/>
  <c r="D11"/>
  <c r="H46"/>
  <c r="D46"/>
  <c r="H22"/>
  <c r="D22"/>
  <c r="H16"/>
  <c r="D16"/>
  <c r="E16"/>
  <c r="D10"/>
  <c r="H10"/>
  <c r="F10"/>
  <c r="E10"/>
  <c r="G10"/>
  <c r="B15" i="10" l="1"/>
  <c r="B56"/>
  <c r="H48" i="9"/>
  <c r="H47"/>
  <c r="D37"/>
  <c r="H37"/>
  <c r="D13"/>
  <c r="H13"/>
  <c r="G13"/>
  <c r="F13"/>
  <c r="E13"/>
  <c r="L53"/>
  <c r="L54"/>
  <c r="L52"/>
  <c r="D47"/>
  <c r="D48"/>
  <c r="D49"/>
  <c r="H49"/>
  <c r="H46"/>
  <c r="D46"/>
  <c r="D43"/>
  <c r="H43"/>
  <c r="D41"/>
  <c r="H41"/>
  <c r="G41"/>
  <c r="F41"/>
  <c r="E41"/>
  <c r="D35"/>
  <c r="H35"/>
  <c r="D36"/>
  <c r="D12"/>
  <c r="H12"/>
  <c r="G12"/>
  <c r="F12"/>
  <c r="E12"/>
  <c r="D10"/>
  <c r="H10"/>
  <c r="H11"/>
  <c r="G10"/>
  <c r="F10"/>
  <c r="E10"/>
  <c r="D28"/>
  <c r="H28"/>
  <c r="G28"/>
  <c r="F28"/>
  <c r="E28"/>
  <c r="D29"/>
  <c r="D30"/>
  <c r="D31"/>
  <c r="H31"/>
  <c r="H16"/>
  <c r="D16"/>
  <c r="G16"/>
  <c r="F16"/>
  <c r="E16"/>
  <c r="D17"/>
  <c r="H17"/>
  <c r="D18"/>
  <c r="H18"/>
  <c r="D19"/>
  <c r="H19"/>
  <c r="D23"/>
  <c r="D24"/>
  <c r="H24"/>
  <c r="D11"/>
  <c r="D22"/>
  <c r="D25"/>
  <c r="H25"/>
  <c r="H22"/>
  <c r="C56" l="1"/>
  <c r="B55"/>
  <c r="B54"/>
  <c r="B53"/>
  <c r="B52"/>
  <c r="L51"/>
  <c r="L56" s="1"/>
  <c r="K51"/>
  <c r="K56" s="1"/>
  <c r="J51"/>
  <c r="J56" s="1"/>
  <c r="I51"/>
  <c r="I56" s="1"/>
  <c r="B49"/>
  <c r="B48"/>
  <c r="B47"/>
  <c r="B46"/>
  <c r="H45"/>
  <c r="H56" s="1"/>
  <c r="G45"/>
  <c r="G56" s="1"/>
  <c r="F45"/>
  <c r="F56" s="1"/>
  <c r="E45"/>
  <c r="E56" s="1"/>
  <c r="D45"/>
  <c r="D56" s="1"/>
  <c r="B43"/>
  <c r="B42"/>
  <c r="B41"/>
  <c r="H39"/>
  <c r="E39"/>
  <c r="D39"/>
  <c r="G39"/>
  <c r="F39"/>
  <c r="B37"/>
  <c r="B36"/>
  <c r="B35"/>
  <c r="H33"/>
  <c r="E33"/>
  <c r="D33"/>
  <c r="G33"/>
  <c r="F33"/>
  <c r="B31"/>
  <c r="B30"/>
  <c r="B29"/>
  <c r="H27"/>
  <c r="G27"/>
  <c r="D27"/>
  <c r="F27"/>
  <c r="E27"/>
  <c r="B25"/>
  <c r="B24"/>
  <c r="B23"/>
  <c r="H21"/>
  <c r="G21"/>
  <c r="D21"/>
  <c r="F21"/>
  <c r="E21"/>
  <c r="B19"/>
  <c r="B18"/>
  <c r="B17"/>
  <c r="H15"/>
  <c r="E15"/>
  <c r="D15"/>
  <c r="G15"/>
  <c r="F15"/>
  <c r="B13"/>
  <c r="B12"/>
  <c r="B11"/>
  <c r="H9"/>
  <c r="E9"/>
  <c r="D9"/>
  <c r="G9"/>
  <c r="F9"/>
  <c r="B33" l="1"/>
  <c r="B21"/>
  <c r="B45"/>
  <c r="B39"/>
  <c r="B9"/>
  <c r="B15"/>
  <c r="B27"/>
  <c r="B22"/>
  <c r="B28"/>
  <c r="B40"/>
  <c r="B10"/>
  <c r="B16"/>
  <c r="B34"/>
  <c r="B51"/>
  <c r="B56" l="1"/>
  <c r="D8" i="1" l="1"/>
  <c r="D124" l="1"/>
  <c r="F124"/>
  <c r="D93"/>
  <c r="D84"/>
  <c r="D77"/>
  <c r="D70"/>
  <c r="D44"/>
  <c r="D31"/>
  <c r="D22"/>
  <c r="D15"/>
  <c r="L51" i="8"/>
  <c r="K51"/>
  <c r="J51"/>
  <c r="I51"/>
  <c r="B51" l="1"/>
  <c r="D45" l="1"/>
  <c r="D56" s="1"/>
  <c r="H27"/>
  <c r="B22"/>
  <c r="F15"/>
  <c r="G9"/>
  <c r="D9"/>
  <c r="F93" i="1"/>
  <c r="F91" s="1"/>
  <c r="K56" i="8"/>
  <c r="I56"/>
  <c r="C56"/>
  <c r="B55"/>
  <c r="B54"/>
  <c r="B53"/>
  <c r="B52"/>
  <c r="L56"/>
  <c r="J56"/>
  <c r="B49"/>
  <c r="B48"/>
  <c r="B47"/>
  <c r="H45"/>
  <c r="H56" s="1"/>
  <c r="G45"/>
  <c r="G56" s="1"/>
  <c r="F45"/>
  <c r="F56" s="1"/>
  <c r="E45"/>
  <c r="E56" s="1"/>
  <c r="B43"/>
  <c r="B42"/>
  <c r="B41"/>
  <c r="B40"/>
  <c r="H39"/>
  <c r="G39"/>
  <c r="F39"/>
  <c r="E39"/>
  <c r="D39"/>
  <c r="B37"/>
  <c r="B36"/>
  <c r="B35"/>
  <c r="B34"/>
  <c r="H33"/>
  <c r="G33"/>
  <c r="F33"/>
  <c r="E33"/>
  <c r="D33"/>
  <c r="B31"/>
  <c r="B30"/>
  <c r="B29"/>
  <c r="G27"/>
  <c r="F27"/>
  <c r="E27"/>
  <c r="B25"/>
  <c r="B24"/>
  <c r="B23"/>
  <c r="H21"/>
  <c r="G21"/>
  <c r="F21"/>
  <c r="D21"/>
  <c r="B19"/>
  <c r="B18"/>
  <c r="B17"/>
  <c r="B16"/>
  <c r="H15"/>
  <c r="G15"/>
  <c r="E15"/>
  <c r="D15"/>
  <c r="B13"/>
  <c r="B12"/>
  <c r="B11"/>
  <c r="H9"/>
  <c r="F9"/>
  <c r="E9"/>
  <c r="F137" i="1" l="1"/>
  <c r="F143" s="1"/>
  <c r="B28" i="8"/>
  <c r="B46"/>
  <c r="D27"/>
  <c r="B27" s="1"/>
  <c r="E21"/>
  <c r="B21" s="1"/>
  <c r="B39"/>
  <c r="B33"/>
  <c r="B45"/>
  <c r="B15"/>
  <c r="B9"/>
  <c r="B10"/>
  <c r="F106" i="1"/>
  <c r="F104" s="1"/>
  <c r="B8" i="8" l="1"/>
  <c r="B56"/>
  <c r="D117" i="1" l="1"/>
  <c r="D106"/>
  <c r="D113"/>
  <c r="D100"/>
  <c r="D91" s="1"/>
  <c r="D62"/>
  <c r="D55"/>
  <c r="D51"/>
  <c r="D42" s="1"/>
  <c r="D38"/>
  <c r="D29" s="1"/>
  <c r="D131" l="1"/>
  <c r="D137" s="1"/>
  <c r="D143" s="1"/>
  <c r="D104"/>
</calcChain>
</file>

<file path=xl/sharedStrings.xml><?xml version="1.0" encoding="utf-8"?>
<sst xmlns="http://schemas.openxmlformats.org/spreadsheetml/2006/main" count="408" uniqueCount="84">
  <si>
    <t xml:space="preserve">Основные показатели финансово-хозяйственной </t>
  </si>
  <si>
    <t>I. Доходы и расходы</t>
  </si>
  <si>
    <t>№ п/п</t>
  </si>
  <si>
    <t>Единица измерения</t>
  </si>
  <si>
    <t>Доходы всего, в том числе по видам регулируемых услуг:</t>
  </si>
  <si>
    <t>тыс. руб.</t>
  </si>
  <si>
    <t>Взлет-посадка</t>
  </si>
  <si>
    <t>в т.ч.</t>
  </si>
  <si>
    <t>- Аэропорт Южно-Сахалинск</t>
  </si>
  <si>
    <t>- филиал Аэропорт Оха</t>
  </si>
  <si>
    <t>- филиал Аэропорт Ноглики</t>
  </si>
  <si>
    <t>Обеспечение авиационной безопасности</t>
  </si>
  <si>
    <t>Стоянка ВС</t>
  </si>
  <si>
    <t>Сбор за предоставление аэровокзального комплекса</t>
  </si>
  <si>
    <t>на внутренних линиях</t>
  </si>
  <si>
    <t>на международных линиях  и при спец.обслуживании</t>
  </si>
  <si>
    <t>Обслуживание пассажиров</t>
  </si>
  <si>
    <t>на международных линиях</t>
  </si>
  <si>
    <t>Обеспечение заправки ВС</t>
  </si>
  <si>
    <t>Хранение авиационного топлива</t>
  </si>
  <si>
    <t>Расходы всего (включая коммерческие и управленческие расходы), в том числе: по видам регулируемых услуг:</t>
  </si>
  <si>
    <t>Сверхнормативная стоянка</t>
  </si>
  <si>
    <t>Прибыль (убыток) от продаж</t>
  </si>
  <si>
    <t>Доходы от участия в других организациях</t>
  </si>
  <si>
    <t>Проценты к получению</t>
  </si>
  <si>
    <t>Проценты к уплате</t>
  </si>
  <si>
    <t>Прочие доходы</t>
  </si>
  <si>
    <t>Прочие расходы</t>
  </si>
  <si>
    <t>Прибыль (убыток) до налогообложения</t>
  </si>
  <si>
    <t>Текущий налог на прибыль</t>
  </si>
  <si>
    <t>в том числе постоянные налоговые обязательства (активы)</t>
  </si>
  <si>
    <t>Изменение отложенных налоговых обязательств</t>
  </si>
  <si>
    <t>Изменение отложенных налоговых активов</t>
  </si>
  <si>
    <t>Прочее</t>
  </si>
  <si>
    <t>Чистая прибыль (убыток)</t>
  </si>
  <si>
    <t>II. Расшифровка расходов по финансово-хозяйственной деятельности</t>
  </si>
  <si>
    <t>Наименование хозяйств, работ и операций</t>
  </si>
  <si>
    <t>Расходы всего</t>
  </si>
  <si>
    <t>В том числе по статьям затрат</t>
  </si>
  <si>
    <t>затраты на оплату труда</t>
  </si>
  <si>
    <t>амортизация</t>
  </si>
  <si>
    <t>прочие расходы</t>
  </si>
  <si>
    <t>операционные расходы, связанные с оплатой услуг, оказываемых кредитными организациями</t>
  </si>
  <si>
    <t>Регулируемые виды деятельности</t>
  </si>
  <si>
    <t>1. Обеспечение взлета, посадки и стоянки воздушных судов</t>
  </si>
  <si>
    <t>2. Предоставление аэровокзального комплекса</t>
  </si>
  <si>
    <t>3. Обеспечение авиационной безопасности</t>
  </si>
  <si>
    <t>4. Обслуживание пассажиров</t>
  </si>
  <si>
    <t>5. Обеспечение заправки воздушных судов авиационным топливом</t>
  </si>
  <si>
    <t>6. Хранение авиационного топлива</t>
  </si>
  <si>
    <t>Итого по аэропортовой деятельности:</t>
  </si>
  <si>
    <t>Прочие  расходы</t>
  </si>
  <si>
    <t>ВСЕГО</t>
  </si>
  <si>
    <t xml:space="preserve">деятельности АО «АЭРОПОРТ ЮЖНО-САХАЛИНСК» в сфере выполнения (оказания) </t>
  </si>
  <si>
    <t>Наименование показателей финансово-хозяйственной деятельности субъекта естественной монополии в сфере услуг аэропортов</t>
  </si>
  <si>
    <t>1.1</t>
  </si>
  <si>
    <t>1.2</t>
  </si>
  <si>
    <t>1.3</t>
  </si>
  <si>
    <t>1.4</t>
  </si>
  <si>
    <t>1.5</t>
  </si>
  <si>
    <t>1.6</t>
  </si>
  <si>
    <t>1.7</t>
  </si>
  <si>
    <t>2.1</t>
  </si>
  <si>
    <t>2.2</t>
  </si>
  <si>
    <t>2.3</t>
  </si>
  <si>
    <t>2.4</t>
  </si>
  <si>
    <t>2.5</t>
  </si>
  <si>
    <t>2.6</t>
  </si>
  <si>
    <t>2.7</t>
  </si>
  <si>
    <t>10.1</t>
  </si>
  <si>
    <t>расходы, связанные с участием в совместной деятельности</t>
  </si>
  <si>
    <t>материальные затраты</t>
  </si>
  <si>
    <t>налоги и иные обязательные платежи и сборы</t>
  </si>
  <si>
    <t>проценты к уплате по кредитам и займам</t>
  </si>
  <si>
    <t xml:space="preserve">отчисления на соц. нужды
</t>
  </si>
  <si>
    <t xml:space="preserve">прочие расходы по обычным видам деятельности </t>
  </si>
  <si>
    <t xml:space="preserve"> - ОП Аэропорт Шахтерск</t>
  </si>
  <si>
    <t xml:space="preserve"> АО «АЭРОПОРТ ЮЖНО-САХАЛИНСК» за 2019 год</t>
  </si>
  <si>
    <t xml:space="preserve"> АО «АЭРОПОРТ ЮЖНО-САХАЛИНСК» за 2020 год</t>
  </si>
  <si>
    <t>регулируемых работ (услуг) в аэропортах за 2019-2021 г.г.</t>
  </si>
  <si>
    <t>2019 год факт</t>
  </si>
  <si>
    <t>2020 год   ожид.</t>
  </si>
  <si>
    <t>2021 год   план</t>
  </si>
  <si>
    <t xml:space="preserve"> АО «АЭРОПОРТ ЮЖНО-САХАЛИНСК» за 2021 год</t>
  </si>
</sst>
</file>

<file path=xl/styles.xml><?xml version="1.0" encoding="utf-8"?>
<styleSheet xmlns="http://schemas.openxmlformats.org/spreadsheetml/2006/main">
  <numFmts count="1">
    <numFmt numFmtId="164" formatCode="0.000"/>
  </numFmts>
  <fonts count="22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8"/>
      <name val="Arial"/>
      <family val="2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41">
    <xf numFmtId="0" fontId="0" fillId="0" borderId="0" xfId="0"/>
    <xf numFmtId="0" fontId="4" fillId="0" borderId="3" xfId="0" applyFont="1" applyFill="1" applyBorder="1" applyAlignment="1">
      <alignment vertical="top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top" wrapText="1"/>
    </xf>
    <xf numFmtId="0" fontId="0" fillId="0" borderId="3" xfId="0" applyFill="1" applyBorder="1" applyAlignment="1">
      <alignment wrapText="1"/>
    </xf>
    <xf numFmtId="0" fontId="0" fillId="0" borderId="3" xfId="0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2" xfId="0" applyFill="1" applyBorder="1" applyAlignment="1">
      <alignment vertical="top"/>
    </xf>
    <xf numFmtId="49" fontId="4" fillId="0" borderId="2" xfId="0" applyNumberFormat="1" applyFont="1" applyFill="1" applyBorder="1" applyAlignment="1">
      <alignment horizontal="center" vertical="top"/>
    </xf>
    <xf numFmtId="0" fontId="5" fillId="0" borderId="3" xfId="0" applyFont="1" applyFill="1" applyBorder="1" applyAlignment="1">
      <alignment vertical="top" wrapText="1"/>
    </xf>
    <xf numFmtId="0" fontId="4" fillId="0" borderId="3" xfId="0" applyFont="1" applyFill="1" applyBorder="1" applyAlignment="1">
      <alignment wrapText="1"/>
    </xf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wrapText="1"/>
    </xf>
    <xf numFmtId="0" fontId="0" fillId="2" borderId="0" xfId="0" applyFill="1"/>
    <xf numFmtId="1" fontId="0" fillId="2" borderId="0" xfId="0" applyNumberFormat="1" applyFill="1"/>
    <xf numFmtId="0" fontId="3" fillId="2" borderId="0" xfId="0" applyFont="1" applyFill="1" applyBorder="1" applyAlignment="1">
      <alignment horizontal="center"/>
    </xf>
    <xf numFmtId="0" fontId="0" fillId="2" borderId="0" xfId="0" applyFill="1" applyBorder="1"/>
    <xf numFmtId="0" fontId="2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horizontal="center" textRotation="90" wrapText="1"/>
    </xf>
    <xf numFmtId="0" fontId="8" fillId="2" borderId="0" xfId="0" applyFont="1" applyFill="1" applyBorder="1" applyAlignment="1">
      <alignment horizontal="center" vertical="top" textRotation="90" wrapText="1"/>
    </xf>
    <xf numFmtId="0" fontId="0" fillId="2" borderId="0" xfId="0" applyFill="1" applyBorder="1" applyAlignment="1">
      <alignment textRotation="90" wrapText="1"/>
    </xf>
    <xf numFmtId="0" fontId="8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wrapText="1"/>
    </xf>
    <xf numFmtId="0" fontId="8" fillId="2" borderId="0" xfId="0" applyFont="1" applyFill="1" applyBorder="1" applyAlignment="1">
      <alignment wrapText="1"/>
    </xf>
    <xf numFmtId="0" fontId="9" fillId="2" borderId="0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vertical="top" wrapText="1"/>
    </xf>
    <xf numFmtId="0" fontId="11" fillId="2" borderId="0" xfId="0" applyFont="1" applyFill="1" applyBorder="1" applyAlignment="1">
      <alignment horizontal="center" wrapText="1"/>
    </xf>
    <xf numFmtId="0" fontId="0" fillId="2" borderId="0" xfId="0" applyFill="1" applyBorder="1" applyAlignment="1">
      <alignment wrapText="1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Border="1"/>
    <xf numFmtId="1" fontId="0" fillId="2" borderId="0" xfId="0" applyNumberFormat="1" applyFill="1" applyBorder="1"/>
    <xf numFmtId="0" fontId="8" fillId="0" borderId="11" xfId="0" applyFont="1" applyFill="1" applyBorder="1" applyAlignment="1">
      <alignment horizontal="center" wrapText="1"/>
    </xf>
    <xf numFmtId="0" fontId="8" fillId="0" borderId="6" xfId="0" applyFont="1" applyFill="1" applyBorder="1" applyAlignment="1">
      <alignment horizontal="center" wrapText="1"/>
    </xf>
    <xf numFmtId="0" fontId="8" fillId="0" borderId="11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wrapText="1"/>
    </xf>
    <xf numFmtId="0" fontId="5" fillId="0" borderId="9" xfId="0" applyFont="1" applyFill="1" applyBorder="1" applyAlignment="1">
      <alignment vertical="top" wrapText="1"/>
    </xf>
    <xf numFmtId="1" fontId="5" fillId="0" borderId="6" xfId="0" applyNumberFormat="1" applyFont="1" applyFill="1" applyBorder="1" applyAlignment="1">
      <alignment horizontal="center" vertical="center" wrapText="1"/>
    </xf>
    <xf numFmtId="0" fontId="13" fillId="0" borderId="0" xfId="0" applyFont="1" applyFill="1"/>
    <xf numFmtId="1" fontId="8" fillId="2" borderId="0" xfId="0" applyNumberFormat="1" applyFont="1" applyFill="1" applyBorder="1" applyAlignment="1">
      <alignment horizontal="center" textRotation="90" wrapText="1"/>
    </xf>
    <xf numFmtId="0" fontId="2" fillId="0" borderId="0" xfId="0" applyFont="1" applyFill="1" applyAlignment="1">
      <alignment horizontal="center"/>
    </xf>
    <xf numFmtId="0" fontId="10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164" fontId="0" fillId="2" borderId="0" xfId="0" applyNumberFormat="1" applyFill="1"/>
    <xf numFmtId="0" fontId="2" fillId="0" borderId="0" xfId="0" applyFont="1" applyFill="1" applyAlignment="1">
      <alignment horizontal="center"/>
    </xf>
    <xf numFmtId="0" fontId="4" fillId="3" borderId="9" xfId="0" applyFont="1" applyFill="1" applyBorder="1" applyAlignment="1">
      <alignment vertical="top" wrapText="1"/>
    </xf>
    <xf numFmtId="1" fontId="4" fillId="3" borderId="6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4" fillId="3" borderId="3" xfId="0" applyFont="1" applyFill="1" applyBorder="1" applyAlignment="1">
      <alignment vertical="top" wrapText="1"/>
    </xf>
    <xf numFmtId="0" fontId="5" fillId="3" borderId="9" xfId="0" applyFont="1" applyFill="1" applyBorder="1" applyAlignment="1">
      <alignment vertical="top" wrapText="1"/>
    </xf>
    <xf numFmtId="1" fontId="5" fillId="3" borderId="6" xfId="0" applyNumberFormat="1" applyFont="1" applyFill="1" applyBorder="1" applyAlignment="1">
      <alignment horizontal="center" vertical="center" wrapText="1"/>
    </xf>
    <xf numFmtId="0" fontId="13" fillId="3" borderId="0" xfId="0" applyFont="1" applyFill="1"/>
    <xf numFmtId="0" fontId="4" fillId="3" borderId="13" xfId="0" applyFont="1" applyFill="1" applyBorder="1" applyAlignment="1">
      <alignment vertical="top" wrapText="1"/>
    </xf>
    <xf numFmtId="1" fontId="8" fillId="0" borderId="11" xfId="0" applyNumberFormat="1" applyFont="1" applyFill="1" applyBorder="1" applyAlignment="1">
      <alignment horizont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top" wrapText="1"/>
    </xf>
    <xf numFmtId="3" fontId="4" fillId="0" borderId="3" xfId="0" applyNumberFormat="1" applyFont="1" applyFill="1" applyBorder="1" applyAlignment="1">
      <alignment horizontal="center" vertical="top" wrapText="1"/>
    </xf>
    <xf numFmtId="3" fontId="4" fillId="3" borderId="3" xfId="0" applyNumberFormat="1" applyFont="1" applyFill="1" applyBorder="1" applyAlignment="1">
      <alignment horizontal="center" vertical="top" wrapText="1"/>
    </xf>
    <xf numFmtId="3" fontId="0" fillId="2" borderId="0" xfId="0" applyNumberFormat="1" applyFill="1"/>
    <xf numFmtId="0" fontId="4" fillId="3" borderId="2" xfId="0" applyFont="1" applyFill="1" applyBorder="1" applyAlignment="1">
      <alignment horizontal="center" vertical="top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center" wrapText="1"/>
    </xf>
    <xf numFmtId="3" fontId="5" fillId="3" borderId="3" xfId="0" applyNumberFormat="1" applyFont="1" applyFill="1" applyBorder="1" applyAlignment="1">
      <alignment horizontal="center" vertical="center" wrapText="1"/>
    </xf>
    <xf numFmtId="3" fontId="5" fillId="3" borderId="3" xfId="0" applyNumberFormat="1" applyFont="1" applyFill="1" applyBorder="1" applyAlignment="1">
      <alignment horizontal="center" vertical="top" wrapText="1"/>
    </xf>
    <xf numFmtId="3" fontId="4" fillId="3" borderId="3" xfId="0" applyNumberFormat="1" applyFont="1" applyFill="1" applyBorder="1" applyAlignment="1">
      <alignment horizontal="center" wrapText="1"/>
    </xf>
    <xf numFmtId="3" fontId="4" fillId="3" borderId="3" xfId="0" applyNumberFormat="1" applyFont="1" applyFill="1" applyBorder="1" applyAlignment="1">
      <alignment horizontal="center" vertical="center" wrapText="1"/>
    </xf>
    <xf numFmtId="1" fontId="14" fillId="3" borderId="6" xfId="0" applyNumberFormat="1" applyFont="1" applyFill="1" applyBorder="1" applyAlignment="1">
      <alignment horizontal="center" vertical="center" wrapText="1"/>
    </xf>
    <xf numFmtId="0" fontId="0" fillId="3" borderId="0" xfId="0" applyFill="1" applyBorder="1"/>
    <xf numFmtId="1" fontId="0" fillId="3" borderId="0" xfId="0" applyNumberFormat="1" applyFill="1" applyBorder="1"/>
    <xf numFmtId="0" fontId="0" fillId="3" borderId="0" xfId="0" applyFill="1" applyBorder="1" applyAlignment="1">
      <alignment wrapText="1"/>
    </xf>
    <xf numFmtId="0" fontId="1" fillId="0" borderId="0" xfId="0" applyFont="1" applyFill="1"/>
    <xf numFmtId="0" fontId="16" fillId="3" borderId="0" xfId="0" applyFont="1" applyFill="1"/>
    <xf numFmtId="0" fontId="1" fillId="3" borderId="0" xfId="0" applyFont="1" applyFill="1"/>
    <xf numFmtId="0" fontId="1" fillId="0" borderId="0" xfId="0" applyFont="1" applyFill="1" applyAlignment="1">
      <alignment wrapText="1"/>
    </xf>
    <xf numFmtId="0" fontId="15" fillId="0" borderId="0" xfId="0" applyFont="1" applyFill="1" applyAlignment="1">
      <alignment horizontal="center"/>
    </xf>
    <xf numFmtId="0" fontId="8" fillId="2" borderId="0" xfId="0" applyFont="1" applyFill="1" applyBorder="1" applyAlignment="1">
      <alignment horizontal="center" textRotation="90" wrapText="1"/>
    </xf>
    <xf numFmtId="0" fontId="8" fillId="2" borderId="0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textRotation="90" wrapText="1"/>
    </xf>
    <xf numFmtId="0" fontId="7" fillId="2" borderId="0" xfId="0" applyFont="1" applyFill="1" applyBorder="1" applyAlignment="1">
      <alignment horizontal="center" vertical="top" wrapText="1"/>
    </xf>
    <xf numFmtId="1" fontId="8" fillId="2" borderId="0" xfId="0" applyNumberFormat="1" applyFont="1" applyFill="1" applyBorder="1" applyAlignment="1">
      <alignment horizontal="center" textRotation="90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textRotation="90" wrapText="1"/>
    </xf>
    <xf numFmtId="0" fontId="7" fillId="0" borderId="8" xfId="0" applyFont="1" applyFill="1" applyBorder="1" applyAlignment="1">
      <alignment horizontal="center" textRotation="90" wrapText="1"/>
    </xf>
    <xf numFmtId="0" fontId="7" fillId="0" borderId="9" xfId="0" applyFont="1" applyFill="1" applyBorder="1" applyAlignment="1">
      <alignment horizontal="center" textRotation="90" wrapText="1"/>
    </xf>
    <xf numFmtId="0" fontId="7" fillId="0" borderId="14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0" fontId="8" fillId="0" borderId="15" xfId="0" applyFont="1" applyFill="1" applyBorder="1" applyAlignment="1">
      <alignment horizontal="center" textRotation="90" wrapText="1"/>
    </xf>
    <xf numFmtId="0" fontId="8" fillId="0" borderId="16" xfId="0" applyFont="1" applyFill="1" applyBorder="1" applyAlignment="1">
      <alignment horizontal="center" textRotation="90" wrapText="1"/>
    </xf>
    <xf numFmtId="0" fontId="8" fillId="0" borderId="17" xfId="0" applyFont="1" applyFill="1" applyBorder="1" applyAlignment="1">
      <alignment horizontal="center" textRotation="90" wrapText="1"/>
    </xf>
    <xf numFmtId="0" fontId="8" fillId="0" borderId="7" xfId="0" applyFont="1" applyFill="1" applyBorder="1" applyAlignment="1">
      <alignment horizontal="center" textRotation="90" wrapText="1"/>
    </xf>
    <xf numFmtId="0" fontId="8" fillId="0" borderId="8" xfId="0" applyFont="1" applyFill="1" applyBorder="1" applyAlignment="1">
      <alignment horizontal="center" textRotation="90" wrapText="1"/>
    </xf>
    <xf numFmtId="0" fontId="8" fillId="0" borderId="9" xfId="0" applyFont="1" applyFill="1" applyBorder="1" applyAlignment="1">
      <alignment horizontal="center" textRotation="90" wrapText="1"/>
    </xf>
    <xf numFmtId="0" fontId="17" fillId="0" borderId="0" xfId="0" applyFont="1" applyFill="1" applyAlignment="1">
      <alignment horizontal="center"/>
    </xf>
    <xf numFmtId="0" fontId="18" fillId="0" borderId="13" xfId="0" applyFont="1" applyFill="1" applyBorder="1" applyAlignment="1">
      <alignment horizontal="center"/>
    </xf>
    <xf numFmtId="0" fontId="19" fillId="0" borderId="7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textRotation="90" wrapText="1"/>
    </xf>
    <xf numFmtId="0" fontId="19" fillId="0" borderId="14" xfId="0" applyFont="1" applyFill="1" applyBorder="1" applyAlignment="1">
      <alignment horizontal="center" vertical="top" wrapText="1"/>
    </xf>
    <xf numFmtId="0" fontId="19" fillId="0" borderId="12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center" vertical="top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textRotation="90" wrapText="1"/>
    </xf>
    <xf numFmtId="0" fontId="20" fillId="0" borderId="15" xfId="0" applyFont="1" applyFill="1" applyBorder="1" applyAlignment="1">
      <alignment horizontal="center" textRotation="90" wrapText="1"/>
    </xf>
    <xf numFmtId="0" fontId="20" fillId="0" borderId="7" xfId="0" applyFont="1" applyFill="1" applyBorder="1" applyAlignment="1">
      <alignment horizontal="center" textRotation="90" wrapText="1"/>
    </xf>
    <xf numFmtId="0" fontId="20" fillId="0" borderId="16" xfId="0" applyFont="1" applyFill="1" applyBorder="1" applyAlignment="1">
      <alignment horizontal="center" textRotation="90" wrapText="1"/>
    </xf>
    <xf numFmtId="0" fontId="20" fillId="0" borderId="8" xfId="0" applyFont="1" applyFill="1" applyBorder="1" applyAlignment="1">
      <alignment horizontal="center" textRotation="90" wrapText="1"/>
    </xf>
    <xf numFmtId="0" fontId="19" fillId="0" borderId="9" xfId="0" applyFont="1" applyFill="1" applyBorder="1" applyAlignment="1">
      <alignment horizontal="center" textRotation="90" wrapText="1"/>
    </xf>
    <xf numFmtId="0" fontId="20" fillId="0" borderId="17" xfId="0" applyFont="1" applyFill="1" applyBorder="1" applyAlignment="1">
      <alignment horizontal="center" textRotation="90" wrapText="1"/>
    </xf>
    <xf numFmtId="0" fontId="20" fillId="0" borderId="9" xfId="0" applyFont="1" applyFill="1" applyBorder="1" applyAlignment="1">
      <alignment horizontal="center" textRotation="90" wrapText="1"/>
    </xf>
    <xf numFmtId="0" fontId="19" fillId="0" borderId="9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wrapText="1"/>
    </xf>
    <xf numFmtId="0" fontId="20" fillId="0" borderId="6" xfId="0" applyFont="1" applyFill="1" applyBorder="1" applyAlignment="1">
      <alignment horizontal="center" wrapText="1"/>
    </xf>
    <xf numFmtId="0" fontId="20" fillId="0" borderId="11" xfId="0" applyFont="1" applyFill="1" applyBorder="1" applyAlignment="1">
      <alignment horizontal="center" vertical="top" wrapText="1"/>
    </xf>
    <xf numFmtId="0" fontId="19" fillId="0" borderId="9" xfId="0" applyFont="1" applyFill="1" applyBorder="1" applyAlignment="1">
      <alignment wrapText="1"/>
    </xf>
    <xf numFmtId="1" fontId="20" fillId="0" borderId="11" xfId="0" applyNumberFormat="1" applyFont="1" applyFill="1" applyBorder="1" applyAlignment="1">
      <alignment horizontal="center" wrapText="1"/>
    </xf>
    <xf numFmtId="0" fontId="21" fillId="3" borderId="9" xfId="0" applyFont="1" applyFill="1" applyBorder="1" applyAlignment="1">
      <alignment vertical="top" wrapText="1"/>
    </xf>
    <xf numFmtId="1" fontId="21" fillId="3" borderId="6" xfId="0" applyNumberFormat="1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vertical="top" wrapText="1"/>
    </xf>
    <xf numFmtId="0" fontId="14" fillId="3" borderId="3" xfId="0" applyFont="1" applyFill="1" applyBorder="1" applyAlignment="1">
      <alignment vertical="top" wrapText="1"/>
    </xf>
    <xf numFmtId="0" fontId="14" fillId="3" borderId="13" xfId="0" applyFont="1" applyFill="1" applyBorder="1" applyAlignment="1">
      <alignment vertical="top" wrapText="1"/>
    </xf>
    <xf numFmtId="0" fontId="21" fillId="0" borderId="9" xfId="0" applyFont="1" applyFill="1" applyBorder="1" applyAlignment="1">
      <alignment vertical="top" wrapText="1"/>
    </xf>
    <xf numFmtId="1" fontId="21" fillId="0" borderId="6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7"/>
  <sheetViews>
    <sheetView tabSelected="1" view="pageBreakPreview" topLeftCell="A121" zoomScale="110" zoomScaleSheetLayoutView="110" workbookViewId="0">
      <selection activeCell="F139" sqref="F139"/>
    </sheetView>
  </sheetViews>
  <sheetFormatPr defaultColWidth="9.140625" defaultRowHeight="15"/>
  <cols>
    <col min="1" max="1" width="5.5703125" style="15" customWidth="1"/>
    <col min="2" max="2" width="40.85546875" style="15" customWidth="1"/>
    <col min="3" max="3" width="10.85546875" style="15" customWidth="1"/>
    <col min="4" max="4" width="10.5703125" style="53" customWidth="1"/>
    <col min="5" max="5" width="9.28515625" style="15" bestFit="1" customWidth="1"/>
    <col min="6" max="6" width="9.85546875" style="15" bestFit="1" customWidth="1"/>
    <col min="7" max="7" width="9.140625" style="15"/>
    <col min="8" max="8" width="9.28515625" style="15" bestFit="1" customWidth="1"/>
    <col min="9" max="16384" width="9.140625" style="15"/>
  </cols>
  <sheetData>
    <row r="1" spans="1:12" s="7" customFormat="1">
      <c r="A1" s="94" t="s">
        <v>0</v>
      </c>
      <c r="B1" s="94"/>
      <c r="C1" s="94"/>
      <c r="D1" s="94"/>
      <c r="E1" s="94"/>
      <c r="F1" s="94"/>
    </row>
    <row r="2" spans="1:12" s="7" customFormat="1">
      <c r="A2" s="94" t="s">
        <v>53</v>
      </c>
      <c r="B2" s="94"/>
      <c r="C2" s="94"/>
      <c r="D2" s="94"/>
      <c r="E2" s="94"/>
      <c r="F2" s="94"/>
    </row>
    <row r="3" spans="1:12" s="7" customFormat="1">
      <c r="A3" s="94" t="s">
        <v>79</v>
      </c>
      <c r="B3" s="94"/>
      <c r="C3" s="94"/>
      <c r="D3" s="94"/>
      <c r="E3" s="94"/>
      <c r="F3" s="94"/>
    </row>
    <row r="4" spans="1:12" s="7" customFormat="1" ht="15.75" thickBot="1">
      <c r="A4" s="95" t="s">
        <v>1</v>
      </c>
      <c r="B4" s="95"/>
      <c r="C4" s="95"/>
      <c r="D4" s="95"/>
      <c r="E4" s="95"/>
      <c r="F4" s="95"/>
    </row>
    <row r="5" spans="1:12" s="7" customFormat="1" ht="40.5" customHeight="1">
      <c r="A5" s="84" t="s">
        <v>2</v>
      </c>
      <c r="B5" s="86" t="s">
        <v>54</v>
      </c>
      <c r="C5" s="86" t="s">
        <v>3</v>
      </c>
      <c r="D5" s="88" t="s">
        <v>80</v>
      </c>
      <c r="E5" s="86" t="s">
        <v>81</v>
      </c>
      <c r="F5" s="86" t="s">
        <v>82</v>
      </c>
    </row>
    <row r="6" spans="1:12" s="7" customFormat="1" ht="17.25" customHeight="1" thickBot="1">
      <c r="A6" s="85"/>
      <c r="B6" s="87"/>
      <c r="C6" s="87"/>
      <c r="D6" s="89"/>
      <c r="E6" s="87"/>
      <c r="F6" s="87"/>
    </row>
    <row r="7" spans="1:12" ht="26.1" customHeight="1" thickBot="1">
      <c r="A7" s="12">
        <v>1</v>
      </c>
      <c r="B7" s="10" t="s">
        <v>4</v>
      </c>
      <c r="C7" s="13" t="s">
        <v>5</v>
      </c>
      <c r="D7" s="68">
        <v>1769555</v>
      </c>
      <c r="E7" s="60">
        <v>1705007</v>
      </c>
      <c r="F7" s="60">
        <v>1763346</v>
      </c>
      <c r="H7" s="64"/>
    </row>
    <row r="8" spans="1:12" ht="17.25" customHeight="1" thickBot="1">
      <c r="A8" s="9" t="s">
        <v>55</v>
      </c>
      <c r="B8" s="10" t="s">
        <v>6</v>
      </c>
      <c r="C8" s="13" t="s">
        <v>5</v>
      </c>
      <c r="D8" s="69">
        <f>SUM(D10:D13)</f>
        <v>512447</v>
      </c>
      <c r="E8" s="69">
        <f t="shared" ref="E8:F8" si="0">SUM(E10:E13)</f>
        <v>482407</v>
      </c>
      <c r="F8" s="69">
        <f t="shared" si="0"/>
        <v>503174</v>
      </c>
    </row>
    <row r="9" spans="1:12" ht="12.95" customHeight="1" thickBot="1">
      <c r="A9" s="8"/>
      <c r="B9" s="1" t="s">
        <v>7</v>
      </c>
      <c r="C9" s="2"/>
      <c r="D9" s="63"/>
      <c r="E9" s="62"/>
      <c r="F9" s="62"/>
    </row>
    <row r="10" spans="1:12" ht="12.95" customHeight="1" thickBot="1">
      <c r="A10" s="8"/>
      <c r="B10" s="1" t="s">
        <v>8</v>
      </c>
      <c r="C10" s="2" t="s">
        <v>5</v>
      </c>
      <c r="D10" s="63">
        <v>431427</v>
      </c>
      <c r="E10" s="62">
        <v>414616</v>
      </c>
      <c r="F10" s="62">
        <v>431427</v>
      </c>
      <c r="I10" s="16"/>
      <c r="J10" s="16"/>
      <c r="K10" s="16"/>
      <c r="L10" s="16"/>
    </row>
    <row r="11" spans="1:12" ht="12.95" customHeight="1" thickBot="1">
      <c r="A11" s="8"/>
      <c r="B11" s="1" t="s">
        <v>9</v>
      </c>
      <c r="C11" s="2" t="s">
        <v>5</v>
      </c>
      <c r="D11" s="63">
        <v>26946</v>
      </c>
      <c r="E11" s="62">
        <v>24371</v>
      </c>
      <c r="F11" s="62">
        <v>26946.000000000004</v>
      </c>
    </row>
    <row r="12" spans="1:12" ht="12.95" customHeight="1" thickBot="1">
      <c r="A12" s="8"/>
      <c r="B12" s="1" t="s">
        <v>10</v>
      </c>
      <c r="C12" s="2" t="s">
        <v>5</v>
      </c>
      <c r="D12" s="63">
        <v>50694</v>
      </c>
      <c r="E12" s="62">
        <v>39430</v>
      </c>
      <c r="F12" s="62">
        <v>40791</v>
      </c>
    </row>
    <row r="13" spans="1:12" ht="12.95" customHeight="1" thickBot="1">
      <c r="A13" s="8"/>
      <c r="B13" s="1" t="s">
        <v>76</v>
      </c>
      <c r="C13" s="2" t="s">
        <v>5</v>
      </c>
      <c r="D13" s="63">
        <v>3380</v>
      </c>
      <c r="E13" s="62">
        <v>3990</v>
      </c>
      <c r="F13" s="62">
        <v>4010</v>
      </c>
    </row>
    <row r="14" spans="1:12" ht="12.95" customHeight="1" thickBot="1">
      <c r="A14" s="8"/>
      <c r="B14" s="3"/>
      <c r="C14" s="2"/>
      <c r="D14" s="63"/>
      <c r="E14" s="62"/>
      <c r="F14" s="62"/>
      <c r="I14" s="16"/>
    </row>
    <row r="15" spans="1:12" ht="12.95" customHeight="1" thickBot="1">
      <c r="A15" s="9" t="s">
        <v>56</v>
      </c>
      <c r="B15" s="10" t="s">
        <v>11</v>
      </c>
      <c r="C15" s="13" t="s">
        <v>5</v>
      </c>
      <c r="D15" s="69">
        <f>SUM(D17:D20)</f>
        <v>312168</v>
      </c>
      <c r="E15" s="69">
        <f t="shared" ref="E15:F15" si="1">SUM(E17:E20)</f>
        <v>292475</v>
      </c>
      <c r="F15" s="69">
        <f t="shared" si="1"/>
        <v>298799</v>
      </c>
    </row>
    <row r="16" spans="1:12" ht="12.95" customHeight="1" thickBot="1">
      <c r="A16" s="8"/>
      <c r="B16" s="1" t="s">
        <v>7</v>
      </c>
      <c r="C16" s="2"/>
      <c r="D16" s="63"/>
      <c r="E16" s="62"/>
      <c r="F16" s="62"/>
    </row>
    <row r="17" spans="1:8" ht="12.95" customHeight="1" thickBot="1">
      <c r="A17" s="8"/>
      <c r="B17" s="1" t="s">
        <v>8</v>
      </c>
      <c r="C17" s="2" t="s">
        <v>5</v>
      </c>
      <c r="D17" s="63">
        <v>255481</v>
      </c>
      <c r="E17" s="62">
        <v>246039</v>
      </c>
      <c r="F17" s="62">
        <v>249050</v>
      </c>
      <c r="H17" s="64"/>
    </row>
    <row r="18" spans="1:8" ht="12.95" customHeight="1" thickBot="1">
      <c r="A18" s="8"/>
      <c r="B18" s="1" t="s">
        <v>9</v>
      </c>
      <c r="C18" s="2" t="s">
        <v>5</v>
      </c>
      <c r="D18" s="63">
        <v>18134</v>
      </c>
      <c r="E18" s="62">
        <v>16198</v>
      </c>
      <c r="F18" s="62">
        <v>17215</v>
      </c>
    </row>
    <row r="19" spans="1:8" ht="12.95" customHeight="1" thickBot="1">
      <c r="A19" s="8"/>
      <c r="B19" s="1" t="s">
        <v>10</v>
      </c>
      <c r="C19" s="2" t="s">
        <v>5</v>
      </c>
      <c r="D19" s="63">
        <v>37586</v>
      </c>
      <c r="E19" s="62">
        <v>29096</v>
      </c>
      <c r="F19" s="62">
        <v>31185</v>
      </c>
    </row>
    <row r="20" spans="1:8" ht="12.95" customHeight="1" thickBot="1">
      <c r="A20" s="8"/>
      <c r="B20" s="1" t="s">
        <v>76</v>
      </c>
      <c r="C20" s="2" t="s">
        <v>5</v>
      </c>
      <c r="D20" s="63">
        <v>967</v>
      </c>
      <c r="E20" s="62">
        <v>1142</v>
      </c>
      <c r="F20" s="62">
        <v>1349</v>
      </c>
    </row>
    <row r="21" spans="1:8" ht="12.95" customHeight="1" thickBot="1">
      <c r="A21" s="8"/>
      <c r="B21" s="3"/>
      <c r="C21" s="2"/>
      <c r="D21" s="63"/>
      <c r="E21" s="62"/>
      <c r="F21" s="62"/>
    </row>
    <row r="22" spans="1:8" ht="12.95" customHeight="1" thickBot="1">
      <c r="A22" s="9" t="s">
        <v>57</v>
      </c>
      <c r="B22" s="10" t="s">
        <v>12</v>
      </c>
      <c r="C22" s="13" t="s">
        <v>5</v>
      </c>
      <c r="D22" s="69">
        <f>SUM(D24:D27)</f>
        <v>8428</v>
      </c>
      <c r="E22" s="69">
        <f t="shared" ref="E22:F22" si="2">SUM(E24:E27)</f>
        <v>7161.02</v>
      </c>
      <c r="F22" s="69">
        <f t="shared" si="2"/>
        <v>7460</v>
      </c>
    </row>
    <row r="23" spans="1:8" ht="12.95" customHeight="1" thickBot="1">
      <c r="A23" s="8"/>
      <c r="B23" s="1" t="s">
        <v>7</v>
      </c>
      <c r="C23" s="2"/>
      <c r="D23" s="63"/>
      <c r="E23" s="62"/>
      <c r="F23" s="62"/>
    </row>
    <row r="24" spans="1:8" ht="12.95" customHeight="1" thickBot="1">
      <c r="A24" s="8"/>
      <c r="B24" s="1" t="s">
        <v>8</v>
      </c>
      <c r="C24" s="2" t="s">
        <v>5</v>
      </c>
      <c r="D24" s="63">
        <v>7357</v>
      </c>
      <c r="E24" s="62">
        <v>6308.52</v>
      </c>
      <c r="F24" s="63">
        <v>6523</v>
      </c>
    </row>
    <row r="25" spans="1:8" s="7" customFormat="1" ht="12.95" customHeight="1" thickBot="1">
      <c r="A25" s="8"/>
      <c r="B25" s="1" t="s">
        <v>9</v>
      </c>
      <c r="C25" s="2" t="s">
        <v>5</v>
      </c>
      <c r="D25" s="63">
        <v>0</v>
      </c>
      <c r="E25" s="62">
        <v>0</v>
      </c>
      <c r="F25" s="63"/>
      <c r="G25" s="15"/>
    </row>
    <row r="26" spans="1:8" ht="12.95" customHeight="1" thickBot="1">
      <c r="A26" s="8"/>
      <c r="B26" s="1" t="s">
        <v>10</v>
      </c>
      <c r="C26" s="2" t="s">
        <v>5</v>
      </c>
      <c r="D26" s="63">
        <v>1071</v>
      </c>
      <c r="E26" s="62">
        <v>852.5</v>
      </c>
      <c r="F26" s="63">
        <v>937</v>
      </c>
    </row>
    <row r="27" spans="1:8" s="7" customFormat="1" ht="12.95" customHeight="1" thickBot="1">
      <c r="A27" s="8"/>
      <c r="B27" s="1" t="s">
        <v>76</v>
      </c>
      <c r="C27" s="2" t="s">
        <v>5</v>
      </c>
      <c r="D27" s="63">
        <v>0</v>
      </c>
      <c r="E27" s="62">
        <v>0</v>
      </c>
      <c r="F27" s="63"/>
      <c r="G27" s="15"/>
    </row>
    <row r="28" spans="1:8" ht="12.95" customHeight="1" thickBot="1">
      <c r="A28" s="8"/>
      <c r="B28" s="3"/>
      <c r="C28" s="2"/>
      <c r="D28" s="63"/>
      <c r="E28" s="62"/>
      <c r="F28" s="63"/>
    </row>
    <row r="29" spans="1:8" ht="29.25" customHeight="1" thickBot="1">
      <c r="A29" s="9" t="s">
        <v>58</v>
      </c>
      <c r="B29" s="14" t="s">
        <v>13</v>
      </c>
      <c r="C29" s="13" t="s">
        <v>5</v>
      </c>
      <c r="D29" s="68">
        <f>D31+D38</f>
        <v>116133</v>
      </c>
      <c r="E29" s="68">
        <f t="shared" ref="E29:F29" si="3">E31+E38</f>
        <v>111301.99</v>
      </c>
      <c r="F29" s="68">
        <f t="shared" si="3"/>
        <v>114054</v>
      </c>
    </row>
    <row r="30" spans="1:8" ht="12.95" customHeight="1" thickBot="1">
      <c r="A30" s="8"/>
      <c r="B30" s="4"/>
      <c r="C30" s="5"/>
      <c r="D30" s="63"/>
      <c r="E30" s="62"/>
      <c r="F30" s="63"/>
    </row>
    <row r="31" spans="1:8" ht="12.95" customHeight="1" thickBot="1">
      <c r="A31" s="8"/>
      <c r="B31" s="11" t="s">
        <v>14</v>
      </c>
      <c r="C31" s="2" t="s">
        <v>5</v>
      </c>
      <c r="D31" s="63">
        <f>SUM(D33:D36)</f>
        <v>87684</v>
      </c>
      <c r="E31" s="63">
        <f t="shared" ref="E31:F31" si="4">SUM(E33:E36)</f>
        <v>90055.1</v>
      </c>
      <c r="F31" s="63">
        <f t="shared" si="4"/>
        <v>91695</v>
      </c>
    </row>
    <row r="32" spans="1:8" ht="12.95" customHeight="1" thickBot="1">
      <c r="A32" s="8"/>
      <c r="B32" s="1" t="s">
        <v>7</v>
      </c>
      <c r="C32" s="2"/>
      <c r="D32" s="63"/>
      <c r="E32" s="62"/>
      <c r="F32" s="63"/>
    </row>
    <row r="33" spans="1:6" ht="12.95" customHeight="1" thickBot="1">
      <c r="A33" s="8"/>
      <c r="B33" s="1" t="s">
        <v>8</v>
      </c>
      <c r="C33" s="2" t="s">
        <v>5</v>
      </c>
      <c r="D33" s="63">
        <v>61218</v>
      </c>
      <c r="E33" s="62">
        <v>66951.100000000006</v>
      </c>
      <c r="F33" s="63">
        <v>67320</v>
      </c>
    </row>
    <row r="34" spans="1:6" ht="12.95" customHeight="1" thickBot="1">
      <c r="A34" s="8"/>
      <c r="B34" s="1" t="s">
        <v>9</v>
      </c>
      <c r="C34" s="2" t="s">
        <v>5</v>
      </c>
      <c r="D34" s="63">
        <v>10757</v>
      </c>
      <c r="E34" s="62">
        <v>11227</v>
      </c>
      <c r="F34" s="63">
        <v>12156</v>
      </c>
    </row>
    <row r="35" spans="1:6" ht="12.95" customHeight="1" thickBot="1">
      <c r="A35" s="8"/>
      <c r="B35" s="1" t="s">
        <v>10</v>
      </c>
      <c r="C35" s="2" t="s">
        <v>5</v>
      </c>
      <c r="D35" s="63">
        <v>14813</v>
      </c>
      <c r="E35" s="62">
        <v>10948</v>
      </c>
      <c r="F35" s="63">
        <v>11213</v>
      </c>
    </row>
    <row r="36" spans="1:6" ht="12.95" customHeight="1" thickBot="1">
      <c r="A36" s="8"/>
      <c r="B36" s="1" t="s">
        <v>76</v>
      </c>
      <c r="C36" s="2" t="s">
        <v>5</v>
      </c>
      <c r="D36" s="63">
        <v>896</v>
      </c>
      <c r="E36" s="62">
        <v>929</v>
      </c>
      <c r="F36" s="63">
        <v>1006</v>
      </c>
    </row>
    <row r="37" spans="1:6" ht="12.95" customHeight="1" thickBot="1">
      <c r="A37" s="8"/>
      <c r="B37" s="3"/>
      <c r="C37" s="2"/>
      <c r="D37" s="63"/>
      <c r="E37" s="62"/>
      <c r="F37" s="63"/>
    </row>
    <row r="38" spans="1:6" ht="26.1" customHeight="1" thickBot="1">
      <c r="A38" s="8"/>
      <c r="B38" s="1" t="s">
        <v>15</v>
      </c>
      <c r="C38" s="2" t="s">
        <v>5</v>
      </c>
      <c r="D38" s="70">
        <f>D40</f>
        <v>28449</v>
      </c>
      <c r="E38" s="70">
        <f t="shared" ref="E38:F38" si="5">E40</f>
        <v>21246.89</v>
      </c>
      <c r="F38" s="70">
        <f t="shared" si="5"/>
        <v>22359</v>
      </c>
    </row>
    <row r="39" spans="1:6" ht="12.95" customHeight="1" thickBot="1">
      <c r="A39" s="8"/>
      <c r="B39" s="1" t="s">
        <v>7</v>
      </c>
      <c r="C39" s="2"/>
      <c r="D39" s="63"/>
      <c r="E39" s="62"/>
      <c r="F39" s="63"/>
    </row>
    <row r="40" spans="1:6" ht="12.95" customHeight="1" thickBot="1">
      <c r="A40" s="8"/>
      <c r="B40" s="1" t="s">
        <v>8</v>
      </c>
      <c r="C40" s="2" t="s">
        <v>5</v>
      </c>
      <c r="D40" s="63">
        <v>28449</v>
      </c>
      <c r="E40" s="62">
        <v>21246.89</v>
      </c>
      <c r="F40" s="63">
        <v>22359</v>
      </c>
    </row>
    <row r="41" spans="1:6" ht="12.95" customHeight="1" thickBot="1">
      <c r="A41" s="8"/>
      <c r="B41" s="3"/>
      <c r="C41" s="2"/>
      <c r="D41" s="63"/>
      <c r="E41" s="62"/>
      <c r="F41" s="63"/>
    </row>
    <row r="42" spans="1:6" ht="12.95" customHeight="1" thickBot="1">
      <c r="A42" s="9" t="s">
        <v>59</v>
      </c>
      <c r="B42" s="10" t="s">
        <v>16</v>
      </c>
      <c r="C42" s="13" t="s">
        <v>5</v>
      </c>
      <c r="D42" s="69">
        <f>D44+D51</f>
        <v>116734</v>
      </c>
      <c r="E42" s="69">
        <f t="shared" ref="E42:F42" si="6">E44+E51</f>
        <v>111481</v>
      </c>
      <c r="F42" s="69">
        <f t="shared" si="6"/>
        <v>114860</v>
      </c>
    </row>
    <row r="43" spans="1:6" ht="12.95" customHeight="1" thickBot="1">
      <c r="A43" s="8"/>
      <c r="B43" s="3"/>
      <c r="C43" s="2"/>
      <c r="D43" s="63"/>
      <c r="E43" s="62"/>
      <c r="F43" s="63"/>
    </row>
    <row r="44" spans="1:6" ht="12.95" customHeight="1" thickBot="1">
      <c r="A44" s="8"/>
      <c r="B44" s="1" t="s">
        <v>14</v>
      </c>
      <c r="C44" s="2" t="s">
        <v>5</v>
      </c>
      <c r="D44" s="63">
        <f>SUM(D46:D49)</f>
        <v>88524</v>
      </c>
      <c r="E44" s="63">
        <f t="shared" ref="E44:F44" si="7">SUM(E46:E49)</f>
        <v>90036.37</v>
      </c>
      <c r="F44" s="63">
        <f t="shared" si="7"/>
        <v>92743</v>
      </c>
    </row>
    <row r="45" spans="1:6" ht="12.95" customHeight="1" thickBot="1">
      <c r="A45" s="8"/>
      <c r="B45" s="1" t="s">
        <v>7</v>
      </c>
      <c r="C45" s="2"/>
      <c r="D45" s="63"/>
      <c r="E45" s="62"/>
      <c r="F45" s="63"/>
    </row>
    <row r="46" spans="1:6" ht="12.95" customHeight="1" thickBot="1">
      <c r="A46" s="8"/>
      <c r="B46" s="1" t="s">
        <v>8</v>
      </c>
      <c r="C46" s="2" t="s">
        <v>5</v>
      </c>
      <c r="D46" s="63">
        <v>58818</v>
      </c>
      <c r="E46" s="62">
        <v>64471.37</v>
      </c>
      <c r="F46" s="63">
        <v>65371</v>
      </c>
    </row>
    <row r="47" spans="1:6" ht="12.95" customHeight="1" thickBot="1">
      <c r="A47" s="8"/>
      <c r="B47" s="1" t="s">
        <v>9</v>
      </c>
      <c r="C47" s="2" t="s">
        <v>5</v>
      </c>
      <c r="D47" s="63">
        <v>11460</v>
      </c>
      <c r="E47" s="62">
        <v>11744</v>
      </c>
      <c r="F47" s="63">
        <v>12617</v>
      </c>
    </row>
    <row r="48" spans="1:6" ht="12.95" customHeight="1" thickBot="1">
      <c r="A48" s="8"/>
      <c r="B48" s="1" t="s">
        <v>10</v>
      </c>
      <c r="C48" s="2" t="s">
        <v>5</v>
      </c>
      <c r="D48" s="63">
        <v>17617</v>
      </c>
      <c r="E48" s="62">
        <v>13140</v>
      </c>
      <c r="F48" s="63">
        <v>13957</v>
      </c>
    </row>
    <row r="49" spans="1:7" ht="12.95" customHeight="1" thickBot="1">
      <c r="A49" s="8"/>
      <c r="B49" s="1" t="s">
        <v>76</v>
      </c>
      <c r="C49" s="2" t="s">
        <v>5</v>
      </c>
      <c r="D49" s="63">
        <v>629</v>
      </c>
      <c r="E49" s="62">
        <v>681</v>
      </c>
      <c r="F49" s="63">
        <v>798</v>
      </c>
    </row>
    <row r="50" spans="1:7" ht="12.95" customHeight="1" thickBot="1">
      <c r="A50" s="8"/>
      <c r="B50" s="3"/>
      <c r="C50" s="2"/>
      <c r="D50" s="63"/>
      <c r="E50" s="62"/>
      <c r="F50" s="63"/>
    </row>
    <row r="51" spans="1:7" ht="12.95" customHeight="1" thickBot="1">
      <c r="A51" s="8"/>
      <c r="B51" s="1" t="s">
        <v>17</v>
      </c>
      <c r="C51" s="2" t="s">
        <v>5</v>
      </c>
      <c r="D51" s="63">
        <f>D53</f>
        <v>28210</v>
      </c>
      <c r="E51" s="63">
        <f t="shared" ref="E51:F51" si="8">E53</f>
        <v>21444.63</v>
      </c>
      <c r="F51" s="63">
        <f t="shared" si="8"/>
        <v>22117</v>
      </c>
    </row>
    <row r="52" spans="1:7" ht="12.95" customHeight="1" thickBot="1">
      <c r="A52" s="8"/>
      <c r="B52" s="1" t="s">
        <v>7</v>
      </c>
      <c r="C52" s="2"/>
      <c r="D52" s="63"/>
      <c r="E52" s="62"/>
      <c r="F52" s="63"/>
    </row>
    <row r="53" spans="1:7" ht="12.95" customHeight="1" thickBot="1">
      <c r="A53" s="8"/>
      <c r="B53" s="1" t="s">
        <v>8</v>
      </c>
      <c r="C53" s="2" t="s">
        <v>5</v>
      </c>
      <c r="D53" s="63">
        <v>28210</v>
      </c>
      <c r="E53" s="62">
        <v>21444.63</v>
      </c>
      <c r="F53" s="63">
        <v>22117</v>
      </c>
    </row>
    <row r="54" spans="1:7" ht="12.95" customHeight="1" thickBot="1">
      <c r="A54" s="8"/>
      <c r="B54" s="3"/>
      <c r="C54" s="2"/>
      <c r="D54" s="63"/>
      <c r="E54" s="62"/>
      <c r="F54" s="63"/>
    </row>
    <row r="55" spans="1:7" ht="12.95" customHeight="1" thickBot="1">
      <c r="A55" s="9" t="s">
        <v>60</v>
      </c>
      <c r="B55" s="10" t="s">
        <v>18</v>
      </c>
      <c r="C55" s="13" t="s">
        <v>5</v>
      </c>
      <c r="D55" s="69">
        <f>SUM(D57:D60)</f>
        <v>14038</v>
      </c>
      <c r="E55" s="69">
        <f t="shared" ref="E55:F55" si="9">SUM(E57:E60)</f>
        <v>14504.94</v>
      </c>
      <c r="F55" s="69">
        <f t="shared" si="9"/>
        <v>15618</v>
      </c>
    </row>
    <row r="56" spans="1:7" ht="12.95" customHeight="1" thickBot="1">
      <c r="A56" s="8"/>
      <c r="B56" s="1" t="s">
        <v>7</v>
      </c>
      <c r="C56" s="2"/>
      <c r="D56" s="63"/>
      <c r="E56" s="62"/>
      <c r="F56" s="63"/>
    </row>
    <row r="57" spans="1:7" s="7" customFormat="1" ht="12.95" customHeight="1" thickBot="1">
      <c r="A57" s="8"/>
      <c r="B57" s="1" t="s">
        <v>8</v>
      </c>
      <c r="C57" s="2" t="s">
        <v>5</v>
      </c>
      <c r="D57" s="63">
        <v>0</v>
      </c>
      <c r="E57" s="62">
        <v>0</v>
      </c>
      <c r="F57" s="63">
        <v>0</v>
      </c>
      <c r="G57" s="15"/>
    </row>
    <row r="58" spans="1:7" ht="12.95" customHeight="1" thickBot="1">
      <c r="A58" s="8"/>
      <c r="B58" s="1" t="s">
        <v>9</v>
      </c>
      <c r="C58" s="2" t="s">
        <v>5</v>
      </c>
      <c r="D58" s="63">
        <v>5128</v>
      </c>
      <c r="E58" s="62">
        <v>3751</v>
      </c>
      <c r="F58" s="63">
        <v>3925</v>
      </c>
    </row>
    <row r="59" spans="1:7" ht="12.95" customHeight="1" thickBot="1">
      <c r="A59" s="8"/>
      <c r="B59" s="1" t="s">
        <v>10</v>
      </c>
      <c r="C59" s="2" t="s">
        <v>5</v>
      </c>
      <c r="D59" s="63">
        <v>8897</v>
      </c>
      <c r="E59" s="62">
        <v>10741.54</v>
      </c>
      <c r="F59" s="63">
        <v>11680</v>
      </c>
    </row>
    <row r="60" spans="1:7" ht="12.95" customHeight="1" thickBot="1">
      <c r="A60" s="8"/>
      <c r="B60" s="1" t="s">
        <v>76</v>
      </c>
      <c r="C60" s="2" t="s">
        <v>5</v>
      </c>
      <c r="D60" s="63">
        <v>13</v>
      </c>
      <c r="E60" s="62">
        <v>12.4</v>
      </c>
      <c r="F60" s="63">
        <v>13</v>
      </c>
    </row>
    <row r="61" spans="1:7" ht="12.95" customHeight="1" thickBot="1">
      <c r="A61" s="8"/>
      <c r="B61" s="3"/>
      <c r="C61" s="2"/>
      <c r="D61" s="63"/>
      <c r="E61" s="62"/>
      <c r="F61" s="63"/>
    </row>
    <row r="62" spans="1:7" ht="12.95" customHeight="1" thickBot="1">
      <c r="A62" s="9" t="s">
        <v>61</v>
      </c>
      <c r="B62" s="10" t="s">
        <v>19</v>
      </c>
      <c r="C62" s="13" t="s">
        <v>5</v>
      </c>
      <c r="D62" s="69">
        <f>SUM(D64:D67)</f>
        <v>4949</v>
      </c>
      <c r="E62" s="69">
        <f t="shared" ref="E62:F62" si="10">SUM(E64:E67)</f>
        <v>4552.55</v>
      </c>
      <c r="F62" s="69">
        <f t="shared" si="10"/>
        <v>4911</v>
      </c>
    </row>
    <row r="63" spans="1:7" ht="12.95" customHeight="1" thickBot="1">
      <c r="A63" s="8"/>
      <c r="B63" s="1" t="s">
        <v>7</v>
      </c>
      <c r="C63" s="2"/>
      <c r="D63" s="63"/>
      <c r="E63" s="62"/>
      <c r="F63" s="63"/>
    </row>
    <row r="64" spans="1:7" s="7" customFormat="1" ht="12.95" customHeight="1" thickBot="1">
      <c r="A64" s="8"/>
      <c r="B64" s="1" t="s">
        <v>8</v>
      </c>
      <c r="C64" s="2" t="s">
        <v>5</v>
      </c>
      <c r="D64" s="63">
        <v>0</v>
      </c>
      <c r="E64" s="62">
        <v>0</v>
      </c>
      <c r="F64" s="63">
        <v>0</v>
      </c>
      <c r="G64" s="15"/>
    </row>
    <row r="65" spans="1:10" ht="12.95" customHeight="1" thickBot="1">
      <c r="A65" s="8"/>
      <c r="B65" s="1" t="s">
        <v>9</v>
      </c>
      <c r="C65" s="2" t="s">
        <v>5</v>
      </c>
      <c r="D65" s="63">
        <v>3825</v>
      </c>
      <c r="E65" s="62">
        <v>4365</v>
      </c>
      <c r="F65" s="63">
        <v>4720</v>
      </c>
    </row>
    <row r="66" spans="1:10" s="7" customFormat="1" ht="12.95" customHeight="1" thickBot="1">
      <c r="A66" s="8"/>
      <c r="B66" s="1" t="s">
        <v>10</v>
      </c>
      <c r="C66" s="2" t="s">
        <v>5</v>
      </c>
      <c r="D66" s="63">
        <v>990</v>
      </c>
      <c r="E66" s="62">
        <v>0</v>
      </c>
      <c r="F66" s="63"/>
      <c r="G66" s="15"/>
    </row>
    <row r="67" spans="1:10" ht="12.95" customHeight="1" thickBot="1">
      <c r="A67" s="8"/>
      <c r="B67" s="1" t="s">
        <v>76</v>
      </c>
      <c r="C67" s="2" t="s">
        <v>5</v>
      </c>
      <c r="D67" s="63">
        <v>134</v>
      </c>
      <c r="E67" s="62">
        <v>187.55</v>
      </c>
      <c r="F67" s="63">
        <v>191</v>
      </c>
    </row>
    <row r="68" spans="1:10" ht="12.95" customHeight="1" thickBot="1">
      <c r="A68" s="8"/>
      <c r="B68" s="3"/>
      <c r="C68" s="2"/>
      <c r="D68" s="63"/>
      <c r="E68" s="62"/>
      <c r="F68" s="63"/>
    </row>
    <row r="69" spans="1:10" ht="39" customHeight="1" thickBot="1">
      <c r="A69" s="65">
        <v>2</v>
      </c>
      <c r="B69" s="66" t="s">
        <v>20</v>
      </c>
      <c r="C69" s="67" t="s">
        <v>5</v>
      </c>
      <c r="D69" s="68">
        <v>2128678</v>
      </c>
      <c r="E69" s="68">
        <v>2003283</v>
      </c>
      <c r="F69" s="68">
        <v>2056940</v>
      </c>
    </row>
    <row r="70" spans="1:10" ht="12.95" customHeight="1" thickBot="1">
      <c r="A70" s="9" t="s">
        <v>62</v>
      </c>
      <c r="B70" s="10" t="s">
        <v>6</v>
      </c>
      <c r="C70" s="13" t="s">
        <v>5</v>
      </c>
      <c r="D70" s="69">
        <f>SUM(D72:D75)</f>
        <v>807854.26500000001</v>
      </c>
      <c r="E70" s="69">
        <f t="shared" ref="E70:F70" si="11">SUM(E72:E75)</f>
        <v>811290</v>
      </c>
      <c r="F70" s="69">
        <f t="shared" si="11"/>
        <v>833453</v>
      </c>
      <c r="I70" s="16"/>
      <c r="J70" s="16"/>
    </row>
    <row r="71" spans="1:10" ht="12.95" customHeight="1" thickBot="1">
      <c r="A71" s="8"/>
      <c r="B71" s="1" t="s">
        <v>7</v>
      </c>
      <c r="C71" s="2"/>
      <c r="D71" s="63"/>
      <c r="E71" s="62"/>
      <c r="F71" s="63"/>
      <c r="J71" s="16"/>
    </row>
    <row r="72" spans="1:10" ht="12.95" customHeight="1" thickBot="1">
      <c r="A72" s="8"/>
      <c r="B72" s="1" t="s">
        <v>8</v>
      </c>
      <c r="C72" s="2" t="s">
        <v>5</v>
      </c>
      <c r="D72" s="63">
        <v>654432</v>
      </c>
      <c r="E72" s="62">
        <v>657826</v>
      </c>
      <c r="F72" s="63">
        <v>677522</v>
      </c>
      <c r="H72" s="16"/>
    </row>
    <row r="73" spans="1:10" ht="12.95" customHeight="1" thickBot="1">
      <c r="A73" s="8"/>
      <c r="B73" s="1" t="s">
        <v>9</v>
      </c>
      <c r="C73" s="2" t="s">
        <v>5</v>
      </c>
      <c r="D73" s="63">
        <f>'2019'!B11</f>
        <v>63568.800999999992</v>
      </c>
      <c r="E73" s="62">
        <v>58925</v>
      </c>
      <c r="F73" s="63">
        <v>59514</v>
      </c>
      <c r="H73" s="16"/>
      <c r="J73" s="16"/>
    </row>
    <row r="74" spans="1:10" ht="12.95" customHeight="1" thickBot="1">
      <c r="A74" s="8"/>
      <c r="B74" s="1" t="s">
        <v>10</v>
      </c>
      <c r="C74" s="2" t="s">
        <v>5</v>
      </c>
      <c r="D74" s="63">
        <v>77558</v>
      </c>
      <c r="E74" s="62">
        <v>75558</v>
      </c>
      <c r="F74" s="63">
        <v>77056</v>
      </c>
    </row>
    <row r="75" spans="1:10" ht="12.95" customHeight="1" thickBot="1">
      <c r="A75" s="8"/>
      <c r="B75" s="1" t="s">
        <v>76</v>
      </c>
      <c r="C75" s="2" t="s">
        <v>5</v>
      </c>
      <c r="D75" s="63">
        <f>'2019'!B13</f>
        <v>12295.464</v>
      </c>
      <c r="E75" s="62">
        <v>18981</v>
      </c>
      <c r="F75" s="63">
        <v>19361</v>
      </c>
    </row>
    <row r="76" spans="1:10" ht="12.95" customHeight="1" thickBot="1">
      <c r="A76" s="8"/>
      <c r="B76" s="3"/>
      <c r="C76" s="6"/>
      <c r="D76" s="63"/>
      <c r="E76" s="62"/>
      <c r="F76" s="63"/>
    </row>
    <row r="77" spans="1:10" ht="12.95" customHeight="1" thickBot="1">
      <c r="A77" s="9" t="s">
        <v>63</v>
      </c>
      <c r="B77" s="10" t="s">
        <v>11</v>
      </c>
      <c r="C77" s="13" t="s">
        <v>5</v>
      </c>
      <c r="D77" s="69">
        <f>SUM(D79:D82)</f>
        <v>459868.52999999991</v>
      </c>
      <c r="E77" s="69">
        <f t="shared" ref="E77:F77" si="12">SUM(E79:E82)</f>
        <v>468604.8</v>
      </c>
      <c r="F77" s="69">
        <f t="shared" si="12"/>
        <v>481404.68100000004</v>
      </c>
    </row>
    <row r="78" spans="1:10" ht="12.95" customHeight="1" thickBot="1">
      <c r="A78" s="8"/>
      <c r="B78" s="1" t="s">
        <v>7</v>
      </c>
      <c r="C78" s="2"/>
      <c r="D78" s="63"/>
      <c r="E78" s="62"/>
      <c r="F78" s="63"/>
      <c r="H78" s="16"/>
    </row>
    <row r="79" spans="1:10" ht="12.95" customHeight="1" thickBot="1">
      <c r="A79" s="8"/>
      <c r="B79" s="1" t="s">
        <v>8</v>
      </c>
      <c r="C79" s="2" t="s">
        <v>5</v>
      </c>
      <c r="D79" s="63">
        <f>'2019'!B22</f>
        <v>364538.82099999994</v>
      </c>
      <c r="E79" s="62">
        <v>373456</v>
      </c>
      <c r="F79" s="63">
        <f>'2021'!B22</f>
        <v>384659.68000000005</v>
      </c>
      <c r="I79" s="16"/>
    </row>
    <row r="80" spans="1:10" ht="12.95" customHeight="1" thickBot="1">
      <c r="A80" s="8"/>
      <c r="B80" s="1" t="s">
        <v>9</v>
      </c>
      <c r="C80" s="2" t="s">
        <v>5</v>
      </c>
      <c r="D80" s="63">
        <f>'2019'!B23</f>
        <v>31279.859999999997</v>
      </c>
      <c r="E80" s="62">
        <v>30677.5</v>
      </c>
      <c r="F80" s="63">
        <f>'2021'!B23</f>
        <v>30984.275000000001</v>
      </c>
      <c r="H80" s="16"/>
    </row>
    <row r="81" spans="1:10" ht="12.95" customHeight="1" thickBot="1">
      <c r="A81" s="8"/>
      <c r="B81" s="1" t="s">
        <v>10</v>
      </c>
      <c r="C81" s="2" t="s">
        <v>5</v>
      </c>
      <c r="D81" s="63">
        <f>'2019'!B24</f>
        <v>51489.902000000002</v>
      </c>
      <c r="E81" s="62">
        <v>47486</v>
      </c>
      <c r="F81" s="63">
        <f>'2021'!B24</f>
        <v>48435.72</v>
      </c>
    </row>
    <row r="82" spans="1:10" ht="12.95" customHeight="1" thickBot="1">
      <c r="A82" s="8"/>
      <c r="B82" s="1" t="s">
        <v>76</v>
      </c>
      <c r="C82" s="2" t="s">
        <v>5</v>
      </c>
      <c r="D82" s="63">
        <f>'2019'!B25</f>
        <v>12559.947</v>
      </c>
      <c r="E82" s="62">
        <v>16985.3</v>
      </c>
      <c r="F82" s="63">
        <f>'2021'!B25</f>
        <v>17325.006000000001</v>
      </c>
    </row>
    <row r="83" spans="1:10" ht="12.95" customHeight="1" thickBot="1">
      <c r="A83" s="8"/>
      <c r="B83" s="3"/>
      <c r="C83" s="2"/>
      <c r="D83" s="63"/>
      <c r="E83" s="62"/>
      <c r="F83" s="63"/>
    </row>
    <row r="84" spans="1:10" ht="12.95" customHeight="1" thickBot="1">
      <c r="A84" s="9" t="s">
        <v>64</v>
      </c>
      <c r="B84" s="10" t="s">
        <v>21</v>
      </c>
      <c r="C84" s="13" t="s">
        <v>5</v>
      </c>
      <c r="D84" s="69">
        <f>SUM(D86:D89)</f>
        <v>8841</v>
      </c>
      <c r="E84" s="69">
        <f>SUM(E86:E89)</f>
        <v>8548</v>
      </c>
      <c r="F84" s="69">
        <f>SUM(F86:F89)</f>
        <v>8850</v>
      </c>
    </row>
    <row r="85" spans="1:10" ht="12.95" customHeight="1" thickBot="1">
      <c r="A85" s="8"/>
      <c r="B85" s="1" t="s">
        <v>7</v>
      </c>
      <c r="C85" s="2"/>
      <c r="D85" s="63"/>
      <c r="E85" s="62"/>
      <c r="F85" s="63"/>
      <c r="I85" s="16"/>
    </row>
    <row r="86" spans="1:10" ht="12.95" customHeight="1" thickBot="1">
      <c r="A86" s="8"/>
      <c r="B86" s="1" t="s">
        <v>8</v>
      </c>
      <c r="C86" s="2" t="s">
        <v>5</v>
      </c>
      <c r="D86" s="63">
        <v>8207</v>
      </c>
      <c r="E86" s="62">
        <v>7952</v>
      </c>
      <c r="F86" s="63">
        <v>8229</v>
      </c>
      <c r="J86" s="16"/>
    </row>
    <row r="87" spans="1:10" ht="12.95" customHeight="1" thickBot="1">
      <c r="A87" s="8"/>
      <c r="B87" s="1" t="s">
        <v>9</v>
      </c>
      <c r="C87" s="2" t="s">
        <v>5</v>
      </c>
      <c r="D87" s="63">
        <v>0</v>
      </c>
      <c r="E87" s="62"/>
      <c r="F87" s="63"/>
      <c r="I87" s="16"/>
    </row>
    <row r="88" spans="1:10" ht="12.95" customHeight="1" thickBot="1">
      <c r="A88" s="8"/>
      <c r="B88" s="1" t="s">
        <v>10</v>
      </c>
      <c r="C88" s="2" t="s">
        <v>5</v>
      </c>
      <c r="D88" s="63">
        <v>634</v>
      </c>
      <c r="E88" s="62">
        <v>596</v>
      </c>
      <c r="F88" s="63">
        <v>621</v>
      </c>
    </row>
    <row r="89" spans="1:10" ht="12.95" customHeight="1" thickBot="1">
      <c r="A89" s="8"/>
      <c r="B89" s="1" t="s">
        <v>76</v>
      </c>
      <c r="C89" s="2" t="s">
        <v>5</v>
      </c>
      <c r="D89" s="63">
        <v>0</v>
      </c>
      <c r="E89" s="62">
        <v>0</v>
      </c>
      <c r="F89" s="63"/>
    </row>
    <row r="90" spans="1:10" ht="12.95" customHeight="1" thickBot="1">
      <c r="A90" s="8"/>
      <c r="B90" s="3"/>
      <c r="C90" s="2"/>
      <c r="D90" s="63"/>
      <c r="E90" s="62"/>
      <c r="F90" s="63"/>
    </row>
    <row r="91" spans="1:10" ht="27" customHeight="1" thickBot="1">
      <c r="A91" s="9" t="s">
        <v>65</v>
      </c>
      <c r="B91" s="14" t="s">
        <v>13</v>
      </c>
      <c r="C91" s="13" t="s">
        <v>5</v>
      </c>
      <c r="D91" s="68">
        <f>D93+D100</f>
        <v>140847.10200000001</v>
      </c>
      <c r="E91" s="68">
        <f t="shared" ref="E91:F91" si="13">E93+E100</f>
        <v>131275.20000000001</v>
      </c>
      <c r="F91" s="68">
        <f t="shared" si="13"/>
        <v>134575.804</v>
      </c>
    </row>
    <row r="92" spans="1:10" ht="12.95" customHeight="1" thickBot="1">
      <c r="A92" s="8"/>
      <c r="B92" s="4"/>
      <c r="C92" s="6"/>
      <c r="D92" s="63"/>
      <c r="E92" s="62"/>
      <c r="F92" s="63"/>
    </row>
    <row r="93" spans="1:10" ht="12.95" customHeight="1" thickBot="1">
      <c r="A93" s="8"/>
      <c r="B93" s="11" t="s">
        <v>14</v>
      </c>
      <c r="C93" s="2" t="s">
        <v>5</v>
      </c>
      <c r="D93" s="63">
        <f>SUM(D95:D98)</f>
        <v>120103.102</v>
      </c>
      <c r="E93" s="62">
        <v>110819.2</v>
      </c>
      <c r="F93" s="63">
        <f>SUM(F95:F98)</f>
        <v>113445.804</v>
      </c>
      <c r="H93" s="16"/>
    </row>
    <row r="94" spans="1:10" ht="12.95" customHeight="1" thickBot="1">
      <c r="A94" s="8"/>
      <c r="B94" s="1" t="s">
        <v>7</v>
      </c>
      <c r="C94" s="2"/>
      <c r="D94" s="63"/>
      <c r="E94" s="62"/>
      <c r="F94" s="63"/>
    </row>
    <row r="95" spans="1:10" ht="12.95" customHeight="1" thickBot="1">
      <c r="A95" s="8"/>
      <c r="B95" s="1" t="s">
        <v>8</v>
      </c>
      <c r="C95" s="2" t="s">
        <v>5</v>
      </c>
      <c r="D95" s="63">
        <v>71342</v>
      </c>
      <c r="E95" s="62">
        <v>68738</v>
      </c>
      <c r="F95" s="63">
        <v>70739</v>
      </c>
      <c r="I95" s="16"/>
    </row>
    <row r="96" spans="1:10" ht="12.95" customHeight="1" thickBot="1">
      <c r="A96" s="8"/>
      <c r="B96" s="1" t="s">
        <v>9</v>
      </c>
      <c r="C96" s="2" t="s">
        <v>5</v>
      </c>
      <c r="D96" s="63">
        <f>'2019'!B17</f>
        <v>19916.954999999998</v>
      </c>
      <c r="E96" s="62">
        <v>21602</v>
      </c>
      <c r="F96" s="63">
        <f>'2021'!B17</f>
        <v>21818.02</v>
      </c>
    </row>
    <row r="97" spans="1:9" ht="12.95" customHeight="1" thickBot="1">
      <c r="A97" s="8"/>
      <c r="B97" s="1" t="s">
        <v>10</v>
      </c>
      <c r="C97" s="2" t="s">
        <v>5</v>
      </c>
      <c r="D97" s="63">
        <f>'2019'!B18</f>
        <v>21242.213</v>
      </c>
      <c r="E97" s="62">
        <v>11572</v>
      </c>
      <c r="F97" s="63">
        <f>'2021'!B18</f>
        <v>11803.440000000002</v>
      </c>
    </row>
    <row r="98" spans="1:9" ht="12.95" customHeight="1" thickBot="1">
      <c r="A98" s="8"/>
      <c r="B98" s="1" t="s">
        <v>76</v>
      </c>
      <c r="C98" s="2" t="s">
        <v>5</v>
      </c>
      <c r="D98" s="63">
        <f>'2019'!B19</f>
        <v>7601.9339999999993</v>
      </c>
      <c r="E98" s="62">
        <v>8907.2000000000007</v>
      </c>
      <c r="F98" s="63">
        <f>'2021'!B19</f>
        <v>9085.344000000001</v>
      </c>
    </row>
    <row r="99" spans="1:9" s="7" customFormat="1" ht="12.95" customHeight="1" thickBot="1">
      <c r="A99" s="8"/>
      <c r="B99" s="3"/>
      <c r="C99" s="2"/>
      <c r="D99" s="63"/>
      <c r="E99" s="62"/>
      <c r="F99" s="63"/>
      <c r="G99" s="15"/>
    </row>
    <row r="100" spans="1:9" ht="26.1" customHeight="1" thickBot="1">
      <c r="A100" s="8"/>
      <c r="B100" s="1" t="s">
        <v>15</v>
      </c>
      <c r="C100" s="2" t="s">
        <v>5</v>
      </c>
      <c r="D100" s="71">
        <f>D102</f>
        <v>20744</v>
      </c>
      <c r="E100" s="71">
        <f t="shared" ref="E100:F100" si="14">E102</f>
        <v>20456</v>
      </c>
      <c r="F100" s="71">
        <f t="shared" si="14"/>
        <v>21130</v>
      </c>
    </row>
    <row r="101" spans="1:9" ht="12.95" customHeight="1" thickBot="1">
      <c r="A101" s="8"/>
      <c r="B101" s="1" t="s">
        <v>7</v>
      </c>
      <c r="C101" s="2"/>
      <c r="D101" s="63"/>
      <c r="E101" s="62"/>
      <c r="F101" s="63"/>
    </row>
    <row r="102" spans="1:9" ht="12.95" customHeight="1" thickBot="1">
      <c r="A102" s="8"/>
      <c r="B102" s="1" t="s">
        <v>8</v>
      </c>
      <c r="C102" s="2" t="s">
        <v>5</v>
      </c>
      <c r="D102" s="63">
        <v>20744</v>
      </c>
      <c r="E102" s="62">
        <v>20456</v>
      </c>
      <c r="F102" s="63">
        <v>21130</v>
      </c>
    </row>
    <row r="103" spans="1:9" ht="12.95" customHeight="1" thickBot="1">
      <c r="A103" s="8"/>
      <c r="B103" s="4"/>
      <c r="C103" s="6"/>
      <c r="D103" s="63"/>
      <c r="E103" s="62"/>
      <c r="F103" s="63"/>
    </row>
    <row r="104" spans="1:9" ht="12.95" customHeight="1" thickBot="1">
      <c r="A104" s="9" t="s">
        <v>66</v>
      </c>
      <c r="B104" s="10" t="s">
        <v>16</v>
      </c>
      <c r="C104" s="13" t="s">
        <v>5</v>
      </c>
      <c r="D104" s="69">
        <f>D106+D113</f>
        <v>163983.24099999998</v>
      </c>
      <c r="E104" s="69">
        <f t="shared" ref="E104:F104" si="15">E106+E113</f>
        <v>163215.5</v>
      </c>
      <c r="F104" s="69">
        <f t="shared" si="15"/>
        <v>167485.61499999999</v>
      </c>
    </row>
    <row r="105" spans="1:9" ht="12.95" customHeight="1" thickBot="1">
      <c r="A105" s="8"/>
      <c r="B105" s="3"/>
      <c r="C105" s="2"/>
      <c r="D105" s="63"/>
      <c r="E105" s="62"/>
      <c r="F105" s="63"/>
      <c r="I105" s="16"/>
    </row>
    <row r="106" spans="1:9" ht="12.95" customHeight="1" thickBot="1">
      <c r="A106" s="8"/>
      <c r="B106" s="1" t="s">
        <v>14</v>
      </c>
      <c r="C106" s="2" t="s">
        <v>5</v>
      </c>
      <c r="D106" s="63">
        <f>SUM(D108:D111)</f>
        <v>135727.24099999998</v>
      </c>
      <c r="E106" s="62">
        <v>134272.5</v>
      </c>
      <c r="F106" s="63">
        <f>SUM(F108:F111)</f>
        <v>137596.61499999999</v>
      </c>
    </row>
    <row r="107" spans="1:9" ht="12.95" customHeight="1" thickBot="1">
      <c r="A107" s="8"/>
      <c r="B107" s="1" t="s">
        <v>7</v>
      </c>
      <c r="C107" s="2"/>
      <c r="D107" s="63"/>
      <c r="E107" s="62"/>
      <c r="F107" s="63"/>
    </row>
    <row r="108" spans="1:9" ht="12.95" customHeight="1" thickBot="1">
      <c r="A108" s="8"/>
      <c r="B108" s="1" t="s">
        <v>8</v>
      </c>
      <c r="C108" s="2" t="s">
        <v>5</v>
      </c>
      <c r="D108" s="63">
        <v>93736.7</v>
      </c>
      <c r="E108" s="62">
        <v>90970</v>
      </c>
      <c r="F108" s="63">
        <v>93620</v>
      </c>
    </row>
    <row r="109" spans="1:9" ht="12.95" customHeight="1" thickBot="1">
      <c r="A109" s="8"/>
      <c r="B109" s="1" t="s">
        <v>9</v>
      </c>
      <c r="C109" s="2" t="s">
        <v>5</v>
      </c>
      <c r="D109" s="63">
        <f>'2019'!B29</f>
        <v>16214.972</v>
      </c>
      <c r="E109" s="62">
        <v>19193.5</v>
      </c>
      <c r="F109" s="63">
        <f>'2021'!B29</f>
        <v>19385.434999999998</v>
      </c>
    </row>
    <row r="110" spans="1:9" ht="12.95" customHeight="1" thickBot="1">
      <c r="A110" s="8"/>
      <c r="B110" s="1" t="s">
        <v>10</v>
      </c>
      <c r="C110" s="2" t="s">
        <v>5</v>
      </c>
      <c r="D110" s="63">
        <f>'2019'!B30</f>
        <v>14936.492000000002</v>
      </c>
      <c r="E110" s="62">
        <v>16268</v>
      </c>
      <c r="F110" s="63">
        <f>'2021'!B30</f>
        <v>16593.36</v>
      </c>
    </row>
    <row r="111" spans="1:9" ht="12.95" customHeight="1" thickBot="1">
      <c r="A111" s="8"/>
      <c r="B111" s="1" t="s">
        <v>76</v>
      </c>
      <c r="C111" s="2" t="s">
        <v>5</v>
      </c>
      <c r="D111" s="63">
        <f>'2019'!B31</f>
        <v>10839.077000000001</v>
      </c>
      <c r="E111" s="62">
        <v>7841</v>
      </c>
      <c r="F111" s="63">
        <f>'2021'!B31</f>
        <v>7997.82</v>
      </c>
    </row>
    <row r="112" spans="1:9" s="7" customFormat="1" ht="12.95" customHeight="1" thickBot="1">
      <c r="A112" s="8"/>
      <c r="B112" s="3"/>
      <c r="C112" s="2"/>
      <c r="D112" s="63"/>
      <c r="E112" s="62"/>
      <c r="F112" s="62"/>
      <c r="G112" s="15"/>
    </row>
    <row r="113" spans="1:8" ht="12.95" customHeight="1" thickBot="1">
      <c r="A113" s="8"/>
      <c r="B113" s="1" t="s">
        <v>17</v>
      </c>
      <c r="C113" s="2" t="s">
        <v>5</v>
      </c>
      <c r="D113" s="63">
        <f>D115</f>
        <v>28256</v>
      </c>
      <c r="E113" s="63">
        <f t="shared" ref="E113:F113" si="16">E115</f>
        <v>28943</v>
      </c>
      <c r="F113" s="63">
        <f t="shared" si="16"/>
        <v>29889</v>
      </c>
    </row>
    <row r="114" spans="1:8" ht="12.95" customHeight="1" thickBot="1">
      <c r="A114" s="8"/>
      <c r="B114" s="1" t="s">
        <v>7</v>
      </c>
      <c r="C114" s="2"/>
      <c r="D114" s="63"/>
      <c r="E114" s="62"/>
      <c r="F114" s="62"/>
      <c r="H114" s="16"/>
    </row>
    <row r="115" spans="1:8" ht="12.95" customHeight="1" thickBot="1">
      <c r="A115" s="8"/>
      <c r="B115" s="1" t="s">
        <v>8</v>
      </c>
      <c r="C115" s="2" t="s">
        <v>5</v>
      </c>
      <c r="D115" s="63">
        <v>28256</v>
      </c>
      <c r="E115" s="62">
        <v>28943</v>
      </c>
      <c r="F115" s="62">
        <v>29889</v>
      </c>
    </row>
    <row r="116" spans="1:8" ht="12.95" customHeight="1" thickBot="1">
      <c r="A116" s="8"/>
      <c r="B116" s="3"/>
      <c r="C116" s="5"/>
      <c r="D116" s="63"/>
      <c r="E116" s="62"/>
      <c r="F116" s="62"/>
    </row>
    <row r="117" spans="1:8" ht="12.95" customHeight="1" thickBot="1">
      <c r="A117" s="9" t="s">
        <v>67</v>
      </c>
      <c r="B117" s="10" t="s">
        <v>18</v>
      </c>
      <c r="C117" s="13" t="s">
        <v>5</v>
      </c>
      <c r="D117" s="69">
        <f>SUM(D119:D122)</f>
        <v>29254.546999999999</v>
      </c>
      <c r="E117" s="69">
        <f t="shared" ref="E117:F117" si="17">SUM(E119:E122)</f>
        <v>44981.5</v>
      </c>
      <c r="F117" s="69">
        <f t="shared" si="17"/>
        <v>45578.32</v>
      </c>
    </row>
    <row r="118" spans="1:8" s="7" customFormat="1" ht="12.95" customHeight="1" thickBot="1">
      <c r="A118" s="8"/>
      <c r="B118" s="1" t="s">
        <v>7</v>
      </c>
      <c r="C118" s="2"/>
      <c r="D118" s="63"/>
      <c r="E118" s="62"/>
      <c r="F118" s="62"/>
      <c r="G118" s="15"/>
    </row>
    <row r="119" spans="1:8" s="7" customFormat="1" ht="12.95" customHeight="1" thickBot="1">
      <c r="A119" s="8"/>
      <c r="B119" s="1" t="s">
        <v>8</v>
      </c>
      <c r="C119" s="2" t="s">
        <v>5</v>
      </c>
      <c r="D119" s="63">
        <v>0</v>
      </c>
      <c r="E119" s="62">
        <v>0</v>
      </c>
      <c r="F119" s="62">
        <v>0</v>
      </c>
      <c r="G119" s="15"/>
    </row>
    <row r="120" spans="1:8" ht="12.95" customHeight="1" thickBot="1">
      <c r="A120" s="8"/>
      <c r="B120" s="1" t="s">
        <v>9</v>
      </c>
      <c r="C120" s="2" t="s">
        <v>5</v>
      </c>
      <c r="D120" s="63">
        <f>'2019'!B35</f>
        <v>13698.276000000002</v>
      </c>
      <c r="E120" s="62">
        <v>30281</v>
      </c>
      <c r="F120" s="62">
        <f>'2021'!B35</f>
        <v>30583.81</v>
      </c>
    </row>
    <row r="121" spans="1:8" ht="12.95" customHeight="1" thickBot="1">
      <c r="A121" s="8"/>
      <c r="B121" s="1" t="s">
        <v>10</v>
      </c>
      <c r="C121" s="2" t="s">
        <v>5</v>
      </c>
      <c r="D121" s="63">
        <f>'2019'!B36</f>
        <v>14642.402</v>
      </c>
      <c r="E121" s="62">
        <v>13026.5</v>
      </c>
      <c r="F121" s="62">
        <f>'2021'!B36</f>
        <v>13287.029999999999</v>
      </c>
    </row>
    <row r="122" spans="1:8" ht="12.95" customHeight="1" thickBot="1">
      <c r="A122" s="8"/>
      <c r="B122" s="1" t="s">
        <v>76</v>
      </c>
      <c r="C122" s="2" t="s">
        <v>5</v>
      </c>
      <c r="D122" s="63">
        <f>'2019'!B37</f>
        <v>913.86900000000003</v>
      </c>
      <c r="E122" s="62">
        <v>1674</v>
      </c>
      <c r="F122" s="62">
        <f>'2021'!B37</f>
        <v>1707.48</v>
      </c>
    </row>
    <row r="123" spans="1:8" ht="12.95" customHeight="1" thickBot="1">
      <c r="A123" s="8"/>
      <c r="B123" s="3"/>
      <c r="C123" s="2"/>
      <c r="D123" s="63"/>
      <c r="E123" s="62"/>
      <c r="F123" s="62"/>
    </row>
    <row r="124" spans="1:8" ht="12.95" customHeight="1" thickBot="1">
      <c r="A124" s="9" t="s">
        <v>68</v>
      </c>
      <c r="B124" s="10" t="s">
        <v>19</v>
      </c>
      <c r="C124" s="13" t="s">
        <v>5</v>
      </c>
      <c r="D124" s="69">
        <f>SUM(D126:D129)</f>
        <v>10395.814000000002</v>
      </c>
      <c r="E124" s="69">
        <f>SUM(E126:E129)</f>
        <v>9186.5</v>
      </c>
      <c r="F124" s="61">
        <f>SUM(F126:F129)</f>
        <v>9297.8549999999996</v>
      </c>
    </row>
    <row r="125" spans="1:8" s="7" customFormat="1" ht="12.95" customHeight="1" thickBot="1">
      <c r="A125" s="8"/>
      <c r="B125" s="1" t="s">
        <v>7</v>
      </c>
      <c r="C125" s="2"/>
      <c r="D125" s="63"/>
      <c r="E125" s="62"/>
      <c r="F125" s="62"/>
      <c r="G125" s="15"/>
    </row>
    <row r="126" spans="1:8" s="7" customFormat="1" ht="12.95" customHeight="1" thickBot="1">
      <c r="A126" s="8"/>
      <c r="B126" s="1" t="s">
        <v>8</v>
      </c>
      <c r="C126" s="2" t="s">
        <v>5</v>
      </c>
      <c r="D126" s="63">
        <v>0</v>
      </c>
      <c r="E126" s="62">
        <v>0</v>
      </c>
      <c r="F126" s="62"/>
      <c r="G126" s="15"/>
    </row>
    <row r="127" spans="1:8" ht="12.95" customHeight="1" thickBot="1">
      <c r="A127" s="8"/>
      <c r="B127" s="1" t="s">
        <v>9</v>
      </c>
      <c r="C127" s="2" t="s">
        <v>5</v>
      </c>
      <c r="D127" s="63">
        <f>'2019'!B41</f>
        <v>8451.0710000000017</v>
      </c>
      <c r="E127" s="62">
        <v>7237.5</v>
      </c>
      <c r="F127" s="62">
        <f>'2021'!B41</f>
        <v>7309.875</v>
      </c>
    </row>
    <row r="128" spans="1:8" s="7" customFormat="1" ht="12.95" customHeight="1" thickBot="1">
      <c r="A128" s="8"/>
      <c r="B128" s="1" t="s">
        <v>10</v>
      </c>
      <c r="C128" s="2" t="s">
        <v>5</v>
      </c>
      <c r="D128" s="63">
        <f>'2019'!B42</f>
        <v>0</v>
      </c>
      <c r="E128" s="62">
        <v>0</v>
      </c>
      <c r="F128" s="62">
        <f>'2021'!B42</f>
        <v>0</v>
      </c>
      <c r="G128" s="15"/>
    </row>
    <row r="129" spans="1:11" ht="12.95" customHeight="1" thickBot="1">
      <c r="A129" s="8"/>
      <c r="B129" s="1" t="s">
        <v>76</v>
      </c>
      <c r="C129" s="2" t="s">
        <v>5</v>
      </c>
      <c r="D129" s="63">
        <f>'2019'!B43</f>
        <v>1944.7429999999999</v>
      </c>
      <c r="E129" s="62">
        <v>1949</v>
      </c>
      <c r="F129" s="62">
        <f>'2021'!B43</f>
        <v>1987.98</v>
      </c>
    </row>
    <row r="130" spans="1:11" s="7" customFormat="1" ht="12.95" customHeight="1" thickBot="1">
      <c r="A130" s="8"/>
      <c r="B130" s="3"/>
      <c r="C130" s="2"/>
      <c r="D130" s="63"/>
      <c r="E130" s="62"/>
      <c r="F130" s="62"/>
      <c r="G130" s="15"/>
    </row>
    <row r="131" spans="1:11" ht="12.95" customHeight="1" thickBot="1">
      <c r="A131" s="12">
        <v>3</v>
      </c>
      <c r="B131" s="10" t="s">
        <v>22</v>
      </c>
      <c r="C131" s="13" t="s">
        <v>5</v>
      </c>
      <c r="D131" s="69">
        <f>D7-D69</f>
        <v>-359123</v>
      </c>
      <c r="E131" s="69">
        <f>E7-E69</f>
        <v>-298276</v>
      </c>
      <c r="F131" s="69">
        <f>F7-F69</f>
        <v>-293594</v>
      </c>
    </row>
    <row r="132" spans="1:11" ht="12.95" customHeight="1" thickBot="1">
      <c r="A132" s="12">
        <v>4</v>
      </c>
      <c r="B132" s="1" t="s">
        <v>23</v>
      </c>
      <c r="C132" s="2" t="s">
        <v>5</v>
      </c>
      <c r="D132" s="63"/>
      <c r="E132" s="62"/>
      <c r="F132" s="63"/>
    </row>
    <row r="133" spans="1:11" ht="12.95" customHeight="1" thickBot="1">
      <c r="A133" s="12">
        <v>5</v>
      </c>
      <c r="B133" s="1" t="s">
        <v>24</v>
      </c>
      <c r="C133" s="2" t="s">
        <v>5</v>
      </c>
      <c r="D133" s="63">
        <v>232168</v>
      </c>
      <c r="E133" s="62"/>
      <c r="F133" s="63">
        <v>180000</v>
      </c>
      <c r="H133" s="16"/>
    </row>
    <row r="134" spans="1:11" s="7" customFormat="1" ht="12.95" customHeight="1" thickBot="1">
      <c r="A134" s="12">
        <v>6</v>
      </c>
      <c r="B134" s="1" t="s">
        <v>25</v>
      </c>
      <c r="C134" s="2" t="s">
        <v>5</v>
      </c>
      <c r="D134" s="63"/>
      <c r="E134" s="62"/>
      <c r="F134" s="63"/>
    </row>
    <row r="135" spans="1:11" ht="12.95" customHeight="1" thickBot="1">
      <c r="A135" s="12">
        <v>7</v>
      </c>
      <c r="B135" s="1" t="s">
        <v>26</v>
      </c>
      <c r="C135" s="2" t="s">
        <v>5</v>
      </c>
      <c r="D135" s="63">
        <v>420661</v>
      </c>
      <c r="E135" s="62">
        <v>367861</v>
      </c>
      <c r="F135" s="63">
        <v>325670</v>
      </c>
      <c r="H135" s="16"/>
      <c r="I135" s="16"/>
    </row>
    <row r="136" spans="1:11" ht="12.95" customHeight="1" thickBot="1">
      <c r="A136" s="12">
        <v>8</v>
      </c>
      <c r="B136" s="1" t="s">
        <v>27</v>
      </c>
      <c r="C136" s="2" t="s">
        <v>5</v>
      </c>
      <c r="D136" s="63">
        <v>-73660</v>
      </c>
      <c r="E136" s="62">
        <v>-127944</v>
      </c>
      <c r="F136" s="63">
        <v>-125000</v>
      </c>
    </row>
    <row r="137" spans="1:11" ht="12.95" customHeight="1" thickBot="1">
      <c r="A137" s="12">
        <v>9</v>
      </c>
      <c r="B137" s="1" t="s">
        <v>28</v>
      </c>
      <c r="C137" s="2" t="s">
        <v>5</v>
      </c>
      <c r="D137" s="63">
        <f>D131+D133+D135+D136</f>
        <v>220046</v>
      </c>
      <c r="E137" s="63">
        <f>E131+E133+E135+E136</f>
        <v>-58359</v>
      </c>
      <c r="F137" s="63">
        <f>F131+F132+F133+F134+F135+F136</f>
        <v>87076</v>
      </c>
      <c r="G137" s="49"/>
    </row>
    <row r="138" spans="1:11" ht="12.95" customHeight="1" thickBot="1">
      <c r="A138" s="12">
        <v>10</v>
      </c>
      <c r="B138" s="1" t="s">
        <v>29</v>
      </c>
      <c r="C138" s="2" t="s">
        <v>5</v>
      </c>
      <c r="D138" s="63">
        <v>19341</v>
      </c>
      <c r="E138" s="62">
        <v>0</v>
      </c>
      <c r="F138" s="63">
        <v>6800</v>
      </c>
    </row>
    <row r="139" spans="1:11" ht="27.95" customHeight="1" thickBot="1">
      <c r="A139" s="9" t="s">
        <v>69</v>
      </c>
      <c r="B139" s="1" t="s">
        <v>30</v>
      </c>
      <c r="C139" s="2" t="s">
        <v>5</v>
      </c>
      <c r="D139" s="71">
        <v>5170</v>
      </c>
      <c r="E139" s="62">
        <v>0</v>
      </c>
      <c r="F139" s="63">
        <v>0</v>
      </c>
    </row>
    <row r="140" spans="1:11" ht="12.95" customHeight="1" thickBot="1">
      <c r="A140" s="12">
        <v>11</v>
      </c>
      <c r="B140" s="1" t="s">
        <v>31</v>
      </c>
      <c r="C140" s="2" t="s">
        <v>5</v>
      </c>
      <c r="D140" s="63">
        <v>27836</v>
      </c>
      <c r="E140" s="62">
        <v>0</v>
      </c>
      <c r="F140" s="63">
        <v>0</v>
      </c>
    </row>
    <row r="141" spans="1:11" ht="12.95" customHeight="1" thickBot="1">
      <c r="A141" s="12">
        <v>12</v>
      </c>
      <c r="B141" s="1" t="s">
        <v>32</v>
      </c>
      <c r="C141" s="2" t="s">
        <v>5</v>
      </c>
      <c r="D141" s="63">
        <v>2002</v>
      </c>
      <c r="E141" s="62">
        <v>0</v>
      </c>
      <c r="F141" s="63">
        <v>0</v>
      </c>
      <c r="H141" s="16"/>
    </row>
    <row r="142" spans="1:11" ht="12.95" customHeight="1" thickBot="1">
      <c r="A142" s="12">
        <v>13</v>
      </c>
      <c r="B142" s="1" t="s">
        <v>33</v>
      </c>
      <c r="C142" s="2" t="s">
        <v>5</v>
      </c>
      <c r="D142" s="63">
        <v>0</v>
      </c>
      <c r="E142" s="62">
        <v>0</v>
      </c>
      <c r="F142" s="63">
        <v>0</v>
      </c>
    </row>
    <row r="143" spans="1:11" ht="12.95" customHeight="1" thickBot="1">
      <c r="A143" s="12">
        <v>14</v>
      </c>
      <c r="B143" s="10" t="s">
        <v>34</v>
      </c>
      <c r="C143" s="13" t="s">
        <v>5</v>
      </c>
      <c r="D143" s="69">
        <f>D137-D138-D140-D141</f>
        <v>170867</v>
      </c>
      <c r="E143" s="69">
        <f t="shared" ref="E143:F143" si="18">E137-E138-E140-E141</f>
        <v>-58359</v>
      </c>
      <c r="F143" s="69">
        <f t="shared" si="18"/>
        <v>80276</v>
      </c>
    </row>
    <row r="144" spans="1:11">
      <c r="A144" s="17"/>
      <c r="B144" s="18"/>
      <c r="C144" s="18"/>
      <c r="D144" s="73"/>
      <c r="E144" s="18"/>
      <c r="F144" s="18"/>
      <c r="G144" s="18"/>
      <c r="H144" s="18"/>
      <c r="I144" s="18"/>
      <c r="J144" s="18"/>
      <c r="K144" s="18"/>
    </row>
    <row r="145" spans="1:11">
      <c r="A145" s="19"/>
      <c r="B145" s="18"/>
      <c r="C145" s="36"/>
      <c r="D145" s="74"/>
      <c r="E145" s="18"/>
      <c r="F145" s="18"/>
      <c r="G145" s="18"/>
      <c r="H145" s="18"/>
      <c r="I145" s="18"/>
      <c r="J145" s="18"/>
      <c r="K145" s="18"/>
    </row>
    <row r="146" spans="1:11">
      <c r="A146" s="90"/>
      <c r="B146" s="91"/>
      <c r="C146" s="20"/>
      <c r="D146" s="92"/>
      <c r="E146" s="92"/>
      <c r="F146" s="92"/>
      <c r="G146" s="92"/>
      <c r="H146" s="92"/>
      <c r="I146" s="92"/>
      <c r="J146" s="92"/>
      <c r="K146" s="18"/>
    </row>
    <row r="147" spans="1:11">
      <c r="A147" s="90"/>
      <c r="B147" s="91"/>
      <c r="C147" s="81"/>
      <c r="D147" s="81"/>
      <c r="E147" s="21"/>
      <c r="F147" s="81"/>
      <c r="G147" s="81"/>
      <c r="H147" s="21"/>
      <c r="I147" s="22"/>
      <c r="J147" s="81"/>
      <c r="K147" s="18"/>
    </row>
    <row r="148" spans="1:11">
      <c r="A148" s="90"/>
      <c r="B148" s="91"/>
      <c r="C148" s="93"/>
      <c r="D148" s="81"/>
      <c r="E148" s="44"/>
      <c r="F148" s="81"/>
      <c r="G148" s="81"/>
      <c r="H148" s="21"/>
      <c r="I148" s="22"/>
      <c r="J148" s="81"/>
      <c r="K148" s="18"/>
    </row>
    <row r="149" spans="1:11">
      <c r="A149" s="90"/>
      <c r="B149" s="91"/>
      <c r="C149" s="81"/>
      <c r="D149" s="81"/>
      <c r="E149" s="23"/>
      <c r="F149" s="81"/>
      <c r="G149" s="81"/>
      <c r="H149" s="23"/>
      <c r="I149" s="22"/>
      <c r="J149" s="81"/>
      <c r="K149" s="18"/>
    </row>
    <row r="150" spans="1:11">
      <c r="A150" s="90"/>
      <c r="B150" s="24"/>
      <c r="C150" s="82"/>
      <c r="D150" s="82"/>
      <c r="E150" s="24"/>
      <c r="F150" s="47"/>
      <c r="G150" s="24"/>
      <c r="H150" s="24"/>
      <c r="I150" s="20"/>
      <c r="J150" s="24"/>
      <c r="K150" s="18"/>
    </row>
    <row r="151" spans="1:11">
      <c r="A151" s="25"/>
      <c r="B151" s="24"/>
      <c r="C151" s="82"/>
      <c r="D151" s="82"/>
      <c r="E151" s="24"/>
      <c r="F151" s="47"/>
      <c r="G151" s="24"/>
      <c r="H151" s="24"/>
      <c r="I151" s="24"/>
      <c r="J151" s="24"/>
      <c r="K151" s="18"/>
    </row>
    <row r="152" spans="1:11">
      <c r="A152" s="26"/>
      <c r="B152" s="27"/>
      <c r="C152" s="83"/>
      <c r="D152" s="83"/>
      <c r="E152" s="28"/>
      <c r="F152" s="46"/>
      <c r="G152" s="28"/>
      <c r="H152" s="28"/>
      <c r="I152" s="28"/>
      <c r="J152" s="28"/>
      <c r="K152" s="18"/>
    </row>
    <row r="153" spans="1:11">
      <c r="A153" s="29"/>
      <c r="B153" s="27"/>
      <c r="C153" s="83"/>
      <c r="D153" s="83"/>
      <c r="E153" s="28"/>
      <c r="F153" s="46"/>
      <c r="G153" s="28"/>
      <c r="H153" s="28"/>
      <c r="I153" s="28"/>
      <c r="J153" s="28"/>
      <c r="K153" s="18"/>
    </row>
    <row r="154" spans="1:11">
      <c r="A154" s="29"/>
      <c r="B154" s="27"/>
      <c r="C154" s="83"/>
      <c r="D154" s="83"/>
      <c r="E154" s="28"/>
      <c r="F154" s="46"/>
      <c r="G154" s="28"/>
      <c r="H154" s="28"/>
      <c r="I154" s="28"/>
      <c r="J154" s="28"/>
      <c r="K154" s="18"/>
    </row>
    <row r="155" spans="1:11">
      <c r="A155" s="29"/>
      <c r="B155" s="27"/>
      <c r="C155" s="83"/>
      <c r="D155" s="83"/>
      <c r="E155" s="28"/>
      <c r="F155" s="46"/>
      <c r="G155" s="28"/>
      <c r="H155" s="28"/>
      <c r="I155" s="28"/>
      <c r="J155" s="28"/>
      <c r="K155" s="18"/>
    </row>
    <row r="156" spans="1:11">
      <c r="A156" s="29"/>
      <c r="B156" s="27"/>
      <c r="C156" s="83"/>
      <c r="D156" s="83"/>
      <c r="E156" s="28"/>
      <c r="F156" s="46"/>
      <c r="G156" s="28"/>
      <c r="H156" s="28"/>
      <c r="I156" s="28"/>
      <c r="J156" s="28"/>
      <c r="K156" s="18"/>
    </row>
    <row r="157" spans="1:11">
      <c r="A157" s="29"/>
      <c r="B157" s="27"/>
      <c r="C157" s="83"/>
      <c r="D157" s="83"/>
      <c r="E157" s="28"/>
      <c r="F157" s="46"/>
      <c r="G157" s="28"/>
      <c r="H157" s="28"/>
      <c r="I157" s="28"/>
      <c r="J157" s="28"/>
      <c r="K157" s="18"/>
    </row>
    <row r="158" spans="1:11">
      <c r="A158" s="26"/>
      <c r="B158" s="28"/>
      <c r="C158" s="83"/>
      <c r="D158" s="83"/>
      <c r="E158" s="28"/>
      <c r="F158" s="46"/>
      <c r="G158" s="28"/>
      <c r="H158" s="28"/>
      <c r="I158" s="27"/>
      <c r="J158" s="28"/>
      <c r="K158" s="18"/>
    </row>
    <row r="159" spans="1:11">
      <c r="A159" s="29"/>
      <c r="B159" s="27"/>
      <c r="C159" s="83"/>
      <c r="D159" s="83"/>
      <c r="E159" s="28"/>
      <c r="F159" s="46"/>
      <c r="G159" s="28"/>
      <c r="H159" s="28"/>
      <c r="I159" s="28"/>
      <c r="J159" s="28"/>
      <c r="K159" s="18"/>
    </row>
    <row r="160" spans="1:11">
      <c r="A160" s="29"/>
      <c r="B160" s="27"/>
      <c r="C160" s="83"/>
      <c r="D160" s="83"/>
      <c r="E160" s="28"/>
      <c r="F160" s="46"/>
      <c r="G160" s="28"/>
      <c r="H160" s="28"/>
      <c r="I160" s="28"/>
      <c r="J160" s="28"/>
      <c r="K160" s="18"/>
    </row>
    <row r="161" spans="1:11">
      <c r="A161" s="29"/>
      <c r="B161" s="27"/>
      <c r="C161" s="83"/>
      <c r="D161" s="83"/>
      <c r="E161" s="28"/>
      <c r="F161" s="46"/>
      <c r="G161" s="28"/>
      <c r="H161" s="28"/>
      <c r="I161" s="28"/>
      <c r="J161" s="28"/>
      <c r="K161" s="18"/>
    </row>
    <row r="162" spans="1:11">
      <c r="A162" s="29"/>
      <c r="B162" s="27"/>
      <c r="C162" s="83"/>
      <c r="D162" s="83"/>
      <c r="E162" s="28"/>
      <c r="F162" s="46"/>
      <c r="G162" s="28"/>
      <c r="H162" s="28"/>
      <c r="I162" s="28"/>
      <c r="J162" s="28"/>
      <c r="K162" s="18"/>
    </row>
    <row r="163" spans="1:11">
      <c r="A163" s="29"/>
      <c r="B163" s="27"/>
      <c r="C163" s="83"/>
      <c r="D163" s="83"/>
      <c r="E163" s="28"/>
      <c r="F163" s="46"/>
      <c r="G163" s="28"/>
      <c r="H163" s="28"/>
      <c r="I163" s="28"/>
      <c r="J163" s="28"/>
      <c r="K163" s="18"/>
    </row>
    <row r="164" spans="1:11">
      <c r="A164" s="26"/>
      <c r="B164" s="27"/>
      <c r="C164" s="83"/>
      <c r="D164" s="83"/>
      <c r="E164" s="28"/>
      <c r="F164" s="46"/>
      <c r="G164" s="28"/>
      <c r="H164" s="28"/>
      <c r="I164" s="27"/>
      <c r="J164" s="28"/>
      <c r="K164" s="18"/>
    </row>
    <row r="165" spans="1:11">
      <c r="A165" s="29"/>
      <c r="B165" s="27"/>
      <c r="C165" s="83"/>
      <c r="D165" s="83"/>
      <c r="E165" s="28"/>
      <c r="F165" s="46"/>
      <c r="G165" s="28"/>
      <c r="H165" s="28"/>
      <c r="I165" s="28"/>
      <c r="J165" s="28"/>
      <c r="K165" s="18"/>
    </row>
    <row r="166" spans="1:11">
      <c r="A166" s="29"/>
      <c r="B166" s="27"/>
      <c r="C166" s="83"/>
      <c r="D166" s="83"/>
      <c r="E166" s="28"/>
      <c r="F166" s="46"/>
      <c r="G166" s="28"/>
      <c r="H166" s="28"/>
      <c r="I166" s="28"/>
      <c r="J166" s="28"/>
      <c r="K166" s="18"/>
    </row>
    <row r="167" spans="1:11">
      <c r="A167" s="29"/>
      <c r="B167" s="27"/>
      <c r="C167" s="83"/>
      <c r="D167" s="83"/>
      <c r="E167" s="28"/>
      <c r="F167" s="46"/>
      <c r="G167" s="28"/>
      <c r="H167" s="28"/>
      <c r="I167" s="28"/>
      <c r="J167" s="28"/>
      <c r="K167" s="18"/>
    </row>
    <row r="168" spans="1:11">
      <c r="A168" s="29"/>
      <c r="B168" s="27"/>
      <c r="C168" s="83"/>
      <c r="D168" s="83"/>
      <c r="E168" s="28"/>
      <c r="F168" s="46"/>
      <c r="G168" s="28"/>
      <c r="H168" s="28"/>
      <c r="I168" s="28"/>
      <c r="J168" s="28"/>
      <c r="K168" s="18"/>
    </row>
    <row r="169" spans="1:11">
      <c r="A169" s="29"/>
      <c r="B169" s="27"/>
      <c r="C169" s="83"/>
      <c r="D169" s="83"/>
      <c r="E169" s="28"/>
      <c r="F169" s="46"/>
      <c r="G169" s="28"/>
      <c r="H169" s="28"/>
      <c r="I169" s="28"/>
      <c r="J169" s="28"/>
      <c r="K169" s="18"/>
    </row>
    <row r="170" spans="1:11">
      <c r="A170" s="26"/>
      <c r="B170" s="28"/>
      <c r="C170" s="83"/>
      <c r="D170" s="83"/>
      <c r="E170" s="28"/>
      <c r="F170" s="46"/>
      <c r="G170" s="28"/>
      <c r="H170" s="28"/>
      <c r="I170" s="27"/>
      <c r="J170" s="27"/>
      <c r="K170" s="18"/>
    </row>
    <row r="171" spans="1:11">
      <c r="A171" s="29"/>
      <c r="B171" s="27"/>
      <c r="C171" s="83"/>
      <c r="D171" s="83"/>
      <c r="E171" s="28"/>
      <c r="F171" s="46"/>
      <c r="G171" s="28"/>
      <c r="H171" s="28"/>
      <c r="I171" s="28"/>
      <c r="J171" s="28"/>
      <c r="K171" s="18"/>
    </row>
    <row r="172" spans="1:11">
      <c r="A172" s="29"/>
      <c r="B172" s="27"/>
      <c r="C172" s="83"/>
      <c r="D172" s="83"/>
      <c r="E172" s="28"/>
      <c r="F172" s="46"/>
      <c r="G172" s="28"/>
      <c r="H172" s="28"/>
      <c r="I172" s="28"/>
      <c r="J172" s="28"/>
      <c r="K172" s="18"/>
    </row>
    <row r="173" spans="1:11">
      <c r="A173" s="29"/>
      <c r="B173" s="27"/>
      <c r="C173" s="83"/>
      <c r="D173" s="83"/>
      <c r="E173" s="28"/>
      <c r="F173" s="46"/>
      <c r="G173" s="28"/>
      <c r="H173" s="28"/>
      <c r="I173" s="28"/>
      <c r="J173" s="28"/>
      <c r="K173" s="18"/>
    </row>
    <row r="174" spans="1:11">
      <c r="A174" s="29"/>
      <c r="B174" s="27"/>
      <c r="C174" s="83"/>
      <c r="D174" s="83"/>
      <c r="E174" s="28"/>
      <c r="F174" s="46"/>
      <c r="G174" s="28"/>
      <c r="H174" s="28"/>
      <c r="I174" s="28"/>
      <c r="J174" s="28"/>
      <c r="K174" s="18"/>
    </row>
    <row r="175" spans="1:11">
      <c r="A175" s="29"/>
      <c r="B175" s="27"/>
      <c r="C175" s="83"/>
      <c r="D175" s="83"/>
      <c r="E175" s="28"/>
      <c r="F175" s="46"/>
      <c r="G175" s="28"/>
      <c r="H175" s="28"/>
      <c r="I175" s="28"/>
      <c r="J175" s="28"/>
      <c r="K175" s="18"/>
    </row>
    <row r="176" spans="1:11">
      <c r="A176" s="26"/>
      <c r="B176" s="28"/>
      <c r="C176" s="83"/>
      <c r="D176" s="83"/>
      <c r="E176" s="28"/>
      <c r="F176" s="46"/>
      <c r="G176" s="28"/>
      <c r="H176" s="28"/>
      <c r="I176" s="27"/>
      <c r="J176" s="27"/>
      <c r="K176" s="18"/>
    </row>
    <row r="177" spans="1:11">
      <c r="A177" s="29"/>
      <c r="B177" s="27"/>
      <c r="C177" s="83"/>
      <c r="D177" s="83"/>
      <c r="E177" s="28"/>
      <c r="F177" s="46"/>
      <c r="G177" s="28"/>
      <c r="H177" s="28"/>
      <c r="I177" s="28"/>
      <c r="J177" s="28"/>
      <c r="K177" s="18"/>
    </row>
    <row r="178" spans="1:11">
      <c r="A178" s="29"/>
      <c r="B178" s="27"/>
      <c r="C178" s="83"/>
      <c r="D178" s="83"/>
      <c r="E178" s="28"/>
      <c r="F178" s="46"/>
      <c r="G178" s="28"/>
      <c r="H178" s="28"/>
      <c r="I178" s="28"/>
      <c r="J178" s="28"/>
      <c r="K178" s="18"/>
    </row>
    <row r="179" spans="1:11">
      <c r="A179" s="29"/>
      <c r="B179" s="27"/>
      <c r="C179" s="83"/>
      <c r="D179" s="83"/>
      <c r="E179" s="28"/>
      <c r="F179" s="46"/>
      <c r="G179" s="28"/>
      <c r="H179" s="28"/>
      <c r="I179" s="28"/>
      <c r="J179" s="28"/>
      <c r="K179" s="18"/>
    </row>
    <row r="180" spans="1:11">
      <c r="A180" s="29"/>
      <c r="B180" s="27"/>
      <c r="C180" s="83"/>
      <c r="D180" s="83"/>
      <c r="E180" s="28"/>
      <c r="F180" s="46"/>
      <c r="G180" s="28"/>
      <c r="H180" s="28"/>
      <c r="I180" s="28"/>
      <c r="J180" s="28"/>
      <c r="K180" s="18"/>
    </row>
    <row r="181" spans="1:11">
      <c r="A181" s="29"/>
      <c r="B181" s="27"/>
      <c r="C181" s="83"/>
      <c r="D181" s="83"/>
      <c r="E181" s="28"/>
      <c r="F181" s="46"/>
      <c r="G181" s="28"/>
      <c r="H181" s="28"/>
      <c r="I181" s="28"/>
      <c r="J181" s="28"/>
      <c r="K181" s="18"/>
    </row>
    <row r="182" spans="1:11">
      <c r="A182" s="26"/>
      <c r="B182" s="28"/>
      <c r="C182" s="83"/>
      <c r="D182" s="83"/>
      <c r="E182" s="28"/>
      <c r="F182" s="46"/>
      <c r="G182" s="28"/>
      <c r="H182" s="28"/>
      <c r="I182" s="27"/>
      <c r="J182" s="27"/>
      <c r="K182" s="18"/>
    </row>
    <row r="183" spans="1:11">
      <c r="A183" s="29"/>
      <c r="B183" s="27"/>
      <c r="C183" s="83"/>
      <c r="D183" s="83"/>
      <c r="E183" s="28"/>
      <c r="F183" s="46"/>
      <c r="G183" s="28"/>
      <c r="H183" s="28"/>
      <c r="I183" s="28"/>
      <c r="J183" s="28"/>
      <c r="K183" s="18"/>
    </row>
    <row r="184" spans="1:11">
      <c r="A184" s="29"/>
      <c r="B184" s="27"/>
      <c r="C184" s="83"/>
      <c r="D184" s="83"/>
      <c r="E184" s="28"/>
      <c r="F184" s="46"/>
      <c r="G184" s="28"/>
      <c r="H184" s="28"/>
      <c r="I184" s="28"/>
      <c r="J184" s="28"/>
      <c r="K184" s="18"/>
    </row>
    <row r="185" spans="1:11">
      <c r="A185" s="29"/>
      <c r="B185" s="27"/>
      <c r="C185" s="83"/>
      <c r="D185" s="83"/>
      <c r="E185" s="28"/>
      <c r="F185" s="46"/>
      <c r="G185" s="28"/>
      <c r="H185" s="28"/>
      <c r="I185" s="28"/>
      <c r="J185" s="28"/>
      <c r="K185" s="18"/>
    </row>
    <row r="186" spans="1:11">
      <c r="A186" s="29"/>
      <c r="B186" s="27"/>
      <c r="C186" s="83"/>
      <c r="D186" s="83"/>
      <c r="E186" s="28"/>
      <c r="F186" s="46"/>
      <c r="G186" s="28"/>
      <c r="H186" s="28"/>
      <c r="I186" s="28"/>
      <c r="J186" s="28"/>
      <c r="K186" s="18"/>
    </row>
    <row r="187" spans="1:11">
      <c r="A187" s="29"/>
      <c r="B187" s="27"/>
      <c r="C187" s="83"/>
      <c r="D187" s="83"/>
      <c r="E187" s="28"/>
      <c r="F187" s="46"/>
      <c r="G187" s="28"/>
      <c r="H187" s="28"/>
      <c r="I187" s="28"/>
      <c r="J187" s="28"/>
      <c r="K187" s="18"/>
    </row>
    <row r="188" spans="1:11">
      <c r="A188" s="25"/>
      <c r="B188" s="30"/>
      <c r="C188" s="83"/>
      <c r="D188" s="83"/>
      <c r="E188" s="28"/>
      <c r="F188" s="46"/>
      <c r="G188" s="28"/>
      <c r="H188" s="28"/>
      <c r="I188" s="27"/>
      <c r="J188" s="28"/>
      <c r="K188" s="18"/>
    </row>
    <row r="189" spans="1:11">
      <c r="A189" s="29"/>
      <c r="B189" s="27"/>
      <c r="C189" s="83"/>
      <c r="D189" s="83"/>
      <c r="E189" s="28"/>
      <c r="F189" s="46"/>
      <c r="G189" s="28"/>
      <c r="H189" s="28"/>
      <c r="I189" s="28"/>
      <c r="J189" s="28"/>
      <c r="K189" s="18"/>
    </row>
    <row r="190" spans="1:11">
      <c r="A190" s="29"/>
      <c r="B190" s="27"/>
      <c r="C190" s="83"/>
      <c r="D190" s="83"/>
      <c r="E190" s="28"/>
      <c r="F190" s="46"/>
      <c r="G190" s="28"/>
      <c r="H190" s="28"/>
      <c r="I190" s="28"/>
      <c r="J190" s="28"/>
      <c r="K190" s="18"/>
    </row>
    <row r="191" spans="1:11">
      <c r="A191" s="29"/>
      <c r="B191" s="27"/>
      <c r="C191" s="83"/>
      <c r="D191" s="83"/>
      <c r="E191" s="28"/>
      <c r="F191" s="46"/>
      <c r="G191" s="28"/>
      <c r="H191" s="28"/>
      <c r="I191" s="28"/>
      <c r="J191" s="28"/>
      <c r="K191" s="18"/>
    </row>
    <row r="192" spans="1:11">
      <c r="A192" s="29"/>
      <c r="B192" s="27"/>
      <c r="C192" s="83"/>
      <c r="D192" s="83"/>
      <c r="E192" s="28"/>
      <c r="F192" s="46"/>
      <c r="G192" s="28"/>
      <c r="H192" s="28"/>
      <c r="I192" s="28"/>
      <c r="J192" s="28"/>
      <c r="K192" s="18"/>
    </row>
    <row r="193" spans="1:11">
      <c r="A193" s="29"/>
      <c r="B193" s="27"/>
      <c r="C193" s="83"/>
      <c r="D193" s="83"/>
      <c r="E193" s="28"/>
      <c r="F193" s="46"/>
      <c r="G193" s="28"/>
      <c r="H193" s="28"/>
      <c r="I193" s="28"/>
      <c r="J193" s="28"/>
      <c r="K193" s="18"/>
    </row>
    <row r="194" spans="1:11">
      <c r="A194" s="25"/>
      <c r="B194" s="28"/>
      <c r="C194" s="83"/>
      <c r="D194" s="83"/>
      <c r="E194" s="27"/>
      <c r="F194" s="27"/>
      <c r="G194" s="28"/>
      <c r="H194" s="28"/>
      <c r="I194" s="27"/>
      <c r="J194" s="27"/>
      <c r="K194" s="18"/>
    </row>
    <row r="195" spans="1:11">
      <c r="A195" s="29"/>
      <c r="B195" s="27"/>
      <c r="C195" s="83"/>
      <c r="D195" s="83"/>
      <c r="E195" s="28"/>
      <c r="F195" s="46"/>
      <c r="G195" s="28"/>
      <c r="H195" s="28"/>
      <c r="I195" s="28"/>
      <c r="J195" s="28"/>
      <c r="K195" s="18"/>
    </row>
    <row r="196" spans="1:11">
      <c r="A196" s="29"/>
      <c r="B196" s="27"/>
      <c r="C196" s="83"/>
      <c r="D196" s="83"/>
      <c r="E196" s="28"/>
      <c r="F196" s="46"/>
      <c r="G196" s="28"/>
      <c r="H196" s="28"/>
      <c r="I196" s="28"/>
      <c r="J196" s="28"/>
      <c r="K196" s="18"/>
    </row>
    <row r="197" spans="1:11">
      <c r="A197" s="29"/>
      <c r="B197" s="27"/>
      <c r="C197" s="83"/>
      <c r="D197" s="83"/>
      <c r="E197" s="28"/>
      <c r="F197" s="46"/>
      <c r="G197" s="28"/>
      <c r="H197" s="28"/>
      <c r="I197" s="28"/>
      <c r="J197" s="28"/>
      <c r="K197" s="18"/>
    </row>
    <row r="198" spans="1:11">
      <c r="A198" s="29"/>
      <c r="B198" s="27"/>
      <c r="C198" s="83"/>
      <c r="D198" s="83"/>
      <c r="E198" s="28"/>
      <c r="F198" s="46"/>
      <c r="G198" s="28"/>
      <c r="H198" s="28"/>
      <c r="I198" s="28"/>
      <c r="J198" s="28"/>
      <c r="K198" s="18"/>
    </row>
    <row r="199" spans="1:11">
      <c r="A199" s="29"/>
      <c r="B199" s="27"/>
      <c r="C199" s="83"/>
      <c r="D199" s="83"/>
      <c r="E199" s="28"/>
      <c r="F199" s="46"/>
      <c r="G199" s="28"/>
      <c r="H199" s="28"/>
      <c r="I199" s="28"/>
      <c r="J199" s="28"/>
      <c r="K199" s="18"/>
    </row>
    <row r="200" spans="1:11">
      <c r="A200" s="25"/>
      <c r="B200" s="28"/>
      <c r="C200" s="83"/>
      <c r="D200" s="83"/>
      <c r="E200" s="28"/>
      <c r="F200" s="46"/>
      <c r="G200" s="27"/>
      <c r="H200" s="28"/>
      <c r="I200" s="28"/>
      <c r="J200" s="28"/>
      <c r="K200" s="18"/>
    </row>
    <row r="201" spans="1:11">
      <c r="A201" s="31"/>
      <c r="B201" s="31"/>
      <c r="C201" s="31"/>
      <c r="D201" s="75"/>
      <c r="E201" s="31"/>
      <c r="F201" s="31"/>
      <c r="G201" s="31"/>
      <c r="H201" s="31"/>
      <c r="I201" s="31"/>
      <c r="J201" s="31"/>
      <c r="K201" s="18"/>
    </row>
    <row r="202" spans="1:11">
      <c r="A202" s="17"/>
      <c r="B202" s="18"/>
      <c r="C202" s="18"/>
      <c r="D202" s="73"/>
      <c r="E202" s="18"/>
      <c r="F202" s="18"/>
      <c r="G202" s="18"/>
      <c r="H202" s="18"/>
      <c r="I202" s="18"/>
      <c r="J202" s="18"/>
      <c r="K202" s="18"/>
    </row>
    <row r="203" spans="1:11">
      <c r="A203" s="32"/>
      <c r="B203" s="18"/>
      <c r="C203" s="18"/>
      <c r="D203" s="73"/>
      <c r="E203" s="18"/>
      <c r="F203" s="18"/>
      <c r="G203" s="18"/>
      <c r="H203" s="18"/>
      <c r="I203" s="18"/>
      <c r="J203" s="18"/>
      <c r="K203" s="18"/>
    </row>
    <row r="204" spans="1:11">
      <c r="A204" s="33"/>
      <c r="B204" s="18"/>
      <c r="C204" s="18"/>
      <c r="D204" s="73"/>
      <c r="E204" s="18"/>
      <c r="F204" s="18"/>
      <c r="G204" s="18"/>
      <c r="H204" s="18"/>
      <c r="I204" s="18"/>
      <c r="J204" s="18"/>
      <c r="K204" s="18"/>
    </row>
    <row r="205" spans="1:11">
      <c r="A205" s="33"/>
      <c r="B205" s="18"/>
      <c r="C205" s="18"/>
      <c r="D205" s="73"/>
      <c r="E205" s="18"/>
      <c r="F205" s="18"/>
      <c r="G205" s="18"/>
      <c r="H205" s="18"/>
      <c r="I205" s="18"/>
      <c r="J205" s="18"/>
      <c r="K205" s="18"/>
    </row>
    <row r="206" spans="1:11">
      <c r="A206" s="17"/>
      <c r="B206" s="18"/>
      <c r="C206" s="18"/>
      <c r="D206" s="73"/>
      <c r="E206" s="18"/>
      <c r="F206" s="18"/>
      <c r="G206" s="18"/>
      <c r="H206" s="18"/>
      <c r="I206" s="18"/>
      <c r="J206" s="18"/>
      <c r="K206" s="18"/>
    </row>
    <row r="207" spans="1:11">
      <c r="A207" s="18"/>
      <c r="B207" s="18"/>
      <c r="C207" s="18"/>
      <c r="D207" s="73"/>
      <c r="E207" s="18"/>
      <c r="F207" s="18"/>
      <c r="G207" s="18"/>
      <c r="H207" s="18"/>
      <c r="I207" s="18"/>
      <c r="J207" s="18"/>
      <c r="K207" s="18"/>
    </row>
    <row r="208" spans="1:11">
      <c r="A208" s="34"/>
      <c r="B208" s="18"/>
      <c r="C208" s="18"/>
      <c r="D208" s="73"/>
      <c r="E208" s="18"/>
      <c r="F208" s="18"/>
      <c r="G208" s="18"/>
      <c r="H208" s="18"/>
      <c r="I208" s="18"/>
      <c r="J208" s="18"/>
      <c r="K208" s="18"/>
    </row>
    <row r="209" spans="1:11">
      <c r="A209" s="17"/>
      <c r="B209" s="18"/>
      <c r="C209" s="18"/>
      <c r="D209" s="73"/>
      <c r="E209" s="18"/>
      <c r="F209" s="18"/>
      <c r="G209" s="18"/>
      <c r="H209" s="18"/>
      <c r="I209" s="18"/>
      <c r="J209" s="18"/>
      <c r="K209" s="18"/>
    </row>
    <row r="210" spans="1:11">
      <c r="A210" s="19"/>
      <c r="B210" s="18"/>
      <c r="C210" s="18"/>
      <c r="D210" s="73"/>
      <c r="E210" s="18"/>
      <c r="F210" s="18"/>
      <c r="G210" s="18"/>
      <c r="H210" s="18"/>
      <c r="I210" s="18"/>
      <c r="J210" s="18"/>
      <c r="K210" s="18"/>
    </row>
    <row r="211" spans="1:11">
      <c r="A211" s="90"/>
      <c r="B211" s="91"/>
      <c r="C211" s="20"/>
      <c r="D211" s="92"/>
      <c r="E211" s="92"/>
      <c r="F211" s="92"/>
      <c r="G211" s="92"/>
      <c r="H211" s="92"/>
      <c r="I211" s="92"/>
      <c r="J211" s="92"/>
      <c r="K211" s="18"/>
    </row>
    <row r="212" spans="1:11">
      <c r="A212" s="90"/>
      <c r="B212" s="91"/>
      <c r="C212" s="81"/>
      <c r="D212" s="81"/>
      <c r="E212" s="21"/>
      <c r="F212" s="81"/>
      <c r="G212" s="81"/>
      <c r="H212" s="21"/>
      <c r="I212" s="22"/>
      <c r="J212" s="81"/>
      <c r="K212" s="18"/>
    </row>
    <row r="213" spans="1:11">
      <c r="A213" s="90"/>
      <c r="B213" s="91"/>
      <c r="C213" s="81"/>
      <c r="D213" s="81"/>
      <c r="E213" s="21"/>
      <c r="F213" s="81"/>
      <c r="G213" s="81"/>
      <c r="H213" s="21"/>
      <c r="I213" s="22"/>
      <c r="J213" s="81"/>
      <c r="K213" s="18"/>
    </row>
    <row r="214" spans="1:11">
      <c r="A214" s="90"/>
      <c r="B214" s="91"/>
      <c r="C214" s="81"/>
      <c r="D214" s="81"/>
      <c r="E214" s="23"/>
      <c r="F214" s="81"/>
      <c r="G214" s="81"/>
      <c r="H214" s="23"/>
      <c r="I214" s="22"/>
      <c r="J214" s="81"/>
      <c r="K214" s="18"/>
    </row>
    <row r="215" spans="1:11">
      <c r="A215" s="90"/>
      <c r="B215" s="24"/>
      <c r="C215" s="82"/>
      <c r="D215" s="82"/>
      <c r="E215" s="24"/>
      <c r="F215" s="47"/>
      <c r="G215" s="24"/>
      <c r="H215" s="24"/>
      <c r="I215" s="20"/>
      <c r="J215" s="24"/>
      <c r="K215" s="18"/>
    </row>
    <row r="216" spans="1:11">
      <c r="A216" s="25"/>
      <c r="B216" s="24"/>
      <c r="C216" s="82"/>
      <c r="D216" s="82"/>
      <c r="E216" s="24"/>
      <c r="F216" s="47"/>
      <c r="G216" s="24"/>
      <c r="H216" s="24"/>
      <c r="I216" s="24"/>
      <c r="J216" s="24"/>
      <c r="K216" s="18"/>
    </row>
    <row r="217" spans="1:11">
      <c r="A217" s="26"/>
      <c r="B217" s="27"/>
      <c r="C217" s="83"/>
      <c r="D217" s="83"/>
      <c r="E217" s="28"/>
      <c r="F217" s="46"/>
      <c r="G217" s="28"/>
      <c r="H217" s="28"/>
      <c r="I217" s="28"/>
      <c r="J217" s="28"/>
      <c r="K217" s="18"/>
    </row>
    <row r="218" spans="1:11">
      <c r="A218" s="29"/>
      <c r="B218" s="27"/>
      <c r="C218" s="83"/>
      <c r="D218" s="83"/>
      <c r="E218" s="28"/>
      <c r="F218" s="46"/>
      <c r="G218" s="28"/>
      <c r="H218" s="28"/>
      <c r="I218" s="28"/>
      <c r="J218" s="28"/>
      <c r="K218" s="18"/>
    </row>
    <row r="219" spans="1:11">
      <c r="A219" s="29"/>
      <c r="B219" s="27"/>
      <c r="C219" s="83"/>
      <c r="D219" s="83"/>
      <c r="E219" s="28"/>
      <c r="F219" s="46"/>
      <c r="G219" s="28"/>
      <c r="H219" s="28"/>
      <c r="I219" s="28"/>
      <c r="J219" s="28"/>
      <c r="K219" s="18"/>
    </row>
    <row r="220" spans="1:11">
      <c r="A220" s="29"/>
      <c r="B220" s="27"/>
      <c r="C220" s="83"/>
      <c r="D220" s="83"/>
      <c r="E220" s="28"/>
      <c r="F220" s="46"/>
      <c r="G220" s="28"/>
      <c r="H220" s="28"/>
      <c r="I220" s="28"/>
      <c r="J220" s="28"/>
      <c r="K220" s="18"/>
    </row>
    <row r="221" spans="1:11">
      <c r="A221" s="29"/>
      <c r="B221" s="27"/>
      <c r="C221" s="83"/>
      <c r="D221" s="83"/>
      <c r="E221" s="28"/>
      <c r="F221" s="46"/>
      <c r="G221" s="28"/>
      <c r="H221" s="28"/>
      <c r="I221" s="28"/>
      <c r="J221" s="28"/>
      <c r="K221" s="18"/>
    </row>
    <row r="222" spans="1:11">
      <c r="A222" s="29"/>
      <c r="B222" s="27"/>
      <c r="C222" s="83"/>
      <c r="D222" s="83"/>
      <c r="E222" s="28"/>
      <c r="F222" s="46"/>
      <c r="G222" s="28"/>
      <c r="H222" s="28"/>
      <c r="I222" s="28"/>
      <c r="J222" s="28"/>
      <c r="K222" s="18"/>
    </row>
    <row r="223" spans="1:11">
      <c r="A223" s="26"/>
      <c r="B223" s="28"/>
      <c r="C223" s="83"/>
      <c r="D223" s="83"/>
      <c r="E223" s="28"/>
      <c r="F223" s="46"/>
      <c r="G223" s="28"/>
      <c r="H223" s="28"/>
      <c r="I223" s="27"/>
      <c r="J223" s="28"/>
      <c r="K223" s="18"/>
    </row>
    <row r="224" spans="1:11">
      <c r="A224" s="29"/>
      <c r="B224" s="27"/>
      <c r="C224" s="83"/>
      <c r="D224" s="83"/>
      <c r="E224" s="28"/>
      <c r="F224" s="46"/>
      <c r="G224" s="28"/>
      <c r="H224" s="28"/>
      <c r="I224" s="28"/>
      <c r="J224" s="28"/>
      <c r="K224" s="18"/>
    </row>
    <row r="225" spans="1:11">
      <c r="A225" s="29"/>
      <c r="B225" s="27"/>
      <c r="C225" s="83"/>
      <c r="D225" s="83"/>
      <c r="E225" s="28"/>
      <c r="F225" s="46"/>
      <c r="G225" s="28"/>
      <c r="H225" s="28"/>
      <c r="I225" s="28"/>
      <c r="J225" s="28"/>
      <c r="K225" s="18"/>
    </row>
    <row r="226" spans="1:11">
      <c r="A226" s="29"/>
      <c r="B226" s="27"/>
      <c r="C226" s="83"/>
      <c r="D226" s="83"/>
      <c r="E226" s="28"/>
      <c r="F226" s="46"/>
      <c r="G226" s="28"/>
      <c r="H226" s="28"/>
      <c r="I226" s="28"/>
      <c r="J226" s="28"/>
      <c r="K226" s="18"/>
    </row>
    <row r="227" spans="1:11">
      <c r="A227" s="29"/>
      <c r="B227" s="27"/>
      <c r="C227" s="83"/>
      <c r="D227" s="83"/>
      <c r="E227" s="28"/>
      <c r="F227" s="46"/>
      <c r="G227" s="28"/>
      <c r="H227" s="28"/>
      <c r="I227" s="28"/>
      <c r="J227" s="28"/>
      <c r="K227" s="18"/>
    </row>
    <row r="228" spans="1:11">
      <c r="A228" s="29"/>
      <c r="B228" s="27"/>
      <c r="C228" s="83"/>
      <c r="D228" s="83"/>
      <c r="E228" s="28"/>
      <c r="F228" s="46"/>
      <c r="G228" s="28"/>
      <c r="H228" s="28"/>
      <c r="I228" s="28"/>
      <c r="J228" s="28"/>
      <c r="K228" s="18"/>
    </row>
    <row r="229" spans="1:11">
      <c r="A229" s="26"/>
      <c r="B229" s="27"/>
      <c r="C229" s="83"/>
      <c r="D229" s="83"/>
      <c r="E229" s="28"/>
      <c r="F229" s="46"/>
      <c r="G229" s="28"/>
      <c r="H229" s="28"/>
      <c r="I229" s="27"/>
      <c r="J229" s="28"/>
      <c r="K229" s="18"/>
    </row>
    <row r="230" spans="1:11">
      <c r="A230" s="29"/>
      <c r="B230" s="27"/>
      <c r="C230" s="83"/>
      <c r="D230" s="83"/>
      <c r="E230" s="28"/>
      <c r="F230" s="46"/>
      <c r="G230" s="28"/>
      <c r="H230" s="28"/>
      <c r="I230" s="28"/>
      <c r="J230" s="28"/>
      <c r="K230" s="18"/>
    </row>
    <row r="231" spans="1:11">
      <c r="A231" s="29"/>
      <c r="B231" s="27"/>
      <c r="C231" s="83"/>
      <c r="D231" s="83"/>
      <c r="E231" s="28"/>
      <c r="F231" s="46"/>
      <c r="G231" s="28"/>
      <c r="H231" s="28"/>
      <c r="I231" s="28"/>
      <c r="J231" s="28"/>
      <c r="K231" s="18"/>
    </row>
    <row r="232" spans="1:11">
      <c r="A232" s="29"/>
      <c r="B232" s="27"/>
      <c r="C232" s="83"/>
      <c r="D232" s="83"/>
      <c r="E232" s="28"/>
      <c r="F232" s="46"/>
      <c r="G232" s="28"/>
      <c r="H232" s="28"/>
      <c r="I232" s="28"/>
      <c r="J232" s="28"/>
      <c r="K232" s="18"/>
    </row>
    <row r="233" spans="1:11">
      <c r="A233" s="29"/>
      <c r="B233" s="27"/>
      <c r="C233" s="83"/>
      <c r="D233" s="83"/>
      <c r="E233" s="28"/>
      <c r="F233" s="46"/>
      <c r="G233" s="28"/>
      <c r="H233" s="28"/>
      <c r="I233" s="28"/>
      <c r="J233" s="28"/>
      <c r="K233" s="18"/>
    </row>
    <row r="234" spans="1:11">
      <c r="A234" s="29"/>
      <c r="B234" s="27"/>
      <c r="C234" s="83"/>
      <c r="D234" s="83"/>
      <c r="E234" s="28"/>
      <c r="F234" s="46"/>
      <c r="G234" s="28"/>
      <c r="H234" s="28"/>
      <c r="I234" s="28"/>
      <c r="J234" s="28"/>
      <c r="K234" s="18"/>
    </row>
    <row r="235" spans="1:11">
      <c r="A235" s="26"/>
      <c r="B235" s="28"/>
      <c r="C235" s="83"/>
      <c r="D235" s="83"/>
      <c r="E235" s="28"/>
      <c r="F235" s="46"/>
      <c r="G235" s="28"/>
      <c r="H235" s="28"/>
      <c r="I235" s="27"/>
      <c r="J235" s="27"/>
      <c r="K235" s="18"/>
    </row>
    <row r="236" spans="1:11">
      <c r="A236" s="29"/>
      <c r="B236" s="27"/>
      <c r="C236" s="83"/>
      <c r="D236" s="83"/>
      <c r="E236" s="28"/>
      <c r="F236" s="46"/>
      <c r="G236" s="28"/>
      <c r="H236" s="28"/>
      <c r="I236" s="28"/>
      <c r="J236" s="28"/>
      <c r="K236" s="18"/>
    </row>
    <row r="237" spans="1:11">
      <c r="A237" s="29"/>
      <c r="B237" s="27"/>
      <c r="C237" s="83"/>
      <c r="D237" s="83"/>
      <c r="E237" s="28"/>
      <c r="F237" s="46"/>
      <c r="G237" s="28"/>
      <c r="H237" s="28"/>
      <c r="I237" s="28"/>
      <c r="J237" s="28"/>
      <c r="K237" s="18"/>
    </row>
    <row r="238" spans="1:11">
      <c r="A238" s="29"/>
      <c r="B238" s="27"/>
      <c r="C238" s="83"/>
      <c r="D238" s="83"/>
      <c r="E238" s="28"/>
      <c r="F238" s="46"/>
      <c r="G238" s="28"/>
      <c r="H238" s="28"/>
      <c r="I238" s="28"/>
      <c r="J238" s="28"/>
      <c r="K238" s="18"/>
    </row>
    <row r="239" spans="1:11">
      <c r="A239" s="29"/>
      <c r="B239" s="27"/>
      <c r="C239" s="83"/>
      <c r="D239" s="83"/>
      <c r="E239" s="28"/>
      <c r="F239" s="46"/>
      <c r="G239" s="28"/>
      <c r="H239" s="28"/>
      <c r="I239" s="28"/>
      <c r="J239" s="28"/>
      <c r="K239" s="18"/>
    </row>
    <row r="240" spans="1:11">
      <c r="A240" s="29"/>
      <c r="B240" s="27"/>
      <c r="C240" s="83"/>
      <c r="D240" s="83"/>
      <c r="E240" s="28"/>
      <c r="F240" s="46"/>
      <c r="G240" s="28"/>
      <c r="H240" s="28"/>
      <c r="I240" s="28"/>
      <c r="J240" s="28"/>
      <c r="K240" s="18"/>
    </row>
    <row r="241" spans="1:11">
      <c r="A241" s="26"/>
      <c r="B241" s="28"/>
      <c r="C241" s="83"/>
      <c r="D241" s="83"/>
      <c r="E241" s="28"/>
      <c r="F241" s="46"/>
      <c r="G241" s="28"/>
      <c r="H241" s="28"/>
      <c r="I241" s="27"/>
      <c r="J241" s="27"/>
      <c r="K241" s="18"/>
    </row>
    <row r="242" spans="1:11">
      <c r="A242" s="29"/>
      <c r="B242" s="27"/>
      <c r="C242" s="83"/>
      <c r="D242" s="83"/>
      <c r="E242" s="28"/>
      <c r="F242" s="46"/>
      <c r="G242" s="28"/>
      <c r="H242" s="28"/>
      <c r="I242" s="28"/>
      <c r="J242" s="28"/>
      <c r="K242" s="18"/>
    </row>
    <row r="243" spans="1:11">
      <c r="A243" s="29"/>
      <c r="B243" s="27"/>
      <c r="C243" s="83"/>
      <c r="D243" s="83"/>
      <c r="E243" s="28"/>
      <c r="F243" s="46"/>
      <c r="G243" s="28"/>
      <c r="H243" s="28"/>
      <c r="I243" s="28"/>
      <c r="J243" s="28"/>
      <c r="K243" s="18"/>
    </row>
    <row r="244" spans="1:11">
      <c r="A244" s="29"/>
      <c r="B244" s="27"/>
      <c r="C244" s="83"/>
      <c r="D244" s="83"/>
      <c r="E244" s="28"/>
      <c r="F244" s="46"/>
      <c r="G244" s="28"/>
      <c r="H244" s="28"/>
      <c r="I244" s="28"/>
      <c r="J244" s="28"/>
      <c r="K244" s="18"/>
    </row>
    <row r="245" spans="1:11">
      <c r="A245" s="29"/>
      <c r="B245" s="27"/>
      <c r="C245" s="83"/>
      <c r="D245" s="83"/>
      <c r="E245" s="28"/>
      <c r="F245" s="46"/>
      <c r="G245" s="28"/>
      <c r="H245" s="28"/>
      <c r="I245" s="28"/>
      <c r="J245" s="28"/>
      <c r="K245" s="18"/>
    </row>
    <row r="246" spans="1:11">
      <c r="A246" s="29"/>
      <c r="B246" s="27"/>
      <c r="C246" s="83"/>
      <c r="D246" s="83"/>
      <c r="E246" s="28"/>
      <c r="F246" s="46"/>
      <c r="G246" s="28"/>
      <c r="H246" s="28"/>
      <c r="I246" s="28"/>
      <c r="J246" s="28"/>
      <c r="K246" s="18"/>
    </row>
    <row r="247" spans="1:11">
      <c r="A247" s="26"/>
      <c r="B247" s="28"/>
      <c r="C247" s="83"/>
      <c r="D247" s="83"/>
      <c r="E247" s="28"/>
      <c r="F247" s="46"/>
      <c r="G247" s="28"/>
      <c r="H247" s="28"/>
      <c r="I247" s="27"/>
      <c r="J247" s="27"/>
      <c r="K247" s="18"/>
    </row>
    <row r="248" spans="1:11">
      <c r="A248" s="29"/>
      <c r="B248" s="27"/>
      <c r="C248" s="83"/>
      <c r="D248" s="83"/>
      <c r="E248" s="28"/>
      <c r="F248" s="46"/>
      <c r="G248" s="28"/>
      <c r="H248" s="28"/>
      <c r="I248" s="28"/>
      <c r="J248" s="28"/>
      <c r="K248" s="18"/>
    </row>
    <row r="249" spans="1:11">
      <c r="A249" s="29"/>
      <c r="B249" s="27"/>
      <c r="C249" s="83"/>
      <c r="D249" s="83"/>
      <c r="E249" s="28"/>
      <c r="F249" s="46"/>
      <c r="G249" s="28"/>
      <c r="H249" s="28"/>
      <c r="I249" s="28"/>
      <c r="J249" s="28"/>
      <c r="K249" s="18"/>
    </row>
    <row r="250" spans="1:11">
      <c r="A250" s="29"/>
      <c r="B250" s="27"/>
      <c r="C250" s="83"/>
      <c r="D250" s="83"/>
      <c r="E250" s="28"/>
      <c r="F250" s="46"/>
      <c r="G250" s="28"/>
      <c r="H250" s="28"/>
      <c r="I250" s="28"/>
      <c r="J250" s="28"/>
      <c r="K250" s="18"/>
    </row>
    <row r="251" spans="1:11">
      <c r="A251" s="29"/>
      <c r="B251" s="27"/>
      <c r="C251" s="83"/>
      <c r="D251" s="83"/>
      <c r="E251" s="28"/>
      <c r="F251" s="46"/>
      <c r="G251" s="28"/>
      <c r="H251" s="28"/>
      <c r="I251" s="28"/>
      <c r="J251" s="28"/>
      <c r="K251" s="18"/>
    </row>
    <row r="252" spans="1:11">
      <c r="A252" s="29"/>
      <c r="B252" s="27"/>
      <c r="C252" s="83"/>
      <c r="D252" s="83"/>
      <c r="E252" s="28"/>
      <c r="F252" s="46"/>
      <c r="G252" s="28"/>
      <c r="H252" s="28"/>
      <c r="I252" s="28"/>
      <c r="J252" s="28"/>
      <c r="K252" s="18"/>
    </row>
    <row r="253" spans="1:11">
      <c r="A253" s="25"/>
      <c r="B253" s="30"/>
      <c r="C253" s="83"/>
      <c r="D253" s="83"/>
      <c r="E253" s="28"/>
      <c r="F253" s="46"/>
      <c r="G253" s="28"/>
      <c r="H253" s="28"/>
      <c r="I253" s="27"/>
      <c r="J253" s="28"/>
      <c r="K253" s="18"/>
    </row>
    <row r="254" spans="1:11">
      <c r="A254" s="29"/>
      <c r="B254" s="27"/>
      <c r="C254" s="83"/>
      <c r="D254" s="83"/>
      <c r="E254" s="28"/>
      <c r="F254" s="46"/>
      <c r="G254" s="28"/>
      <c r="H254" s="28"/>
      <c r="I254" s="28"/>
      <c r="J254" s="28"/>
      <c r="K254" s="18"/>
    </row>
    <row r="255" spans="1:11">
      <c r="A255" s="29"/>
      <c r="B255" s="27"/>
      <c r="C255" s="83"/>
      <c r="D255" s="83"/>
      <c r="E255" s="28"/>
      <c r="F255" s="46"/>
      <c r="G255" s="28"/>
      <c r="H255" s="28"/>
      <c r="I255" s="28"/>
      <c r="J255" s="28"/>
      <c r="K255" s="18"/>
    </row>
    <row r="256" spans="1:11">
      <c r="A256" s="29"/>
      <c r="B256" s="27"/>
      <c r="C256" s="83"/>
      <c r="D256" s="83"/>
      <c r="E256" s="28"/>
      <c r="F256" s="46"/>
      <c r="G256" s="28"/>
      <c r="H256" s="28"/>
      <c r="I256" s="28"/>
      <c r="J256" s="28"/>
      <c r="K256" s="18"/>
    </row>
    <row r="257" spans="1:11">
      <c r="A257" s="29"/>
      <c r="B257" s="27"/>
      <c r="C257" s="83"/>
      <c r="D257" s="83"/>
      <c r="E257" s="28"/>
      <c r="F257" s="46"/>
      <c r="G257" s="28"/>
      <c r="H257" s="28"/>
      <c r="I257" s="28"/>
      <c r="J257" s="28"/>
      <c r="K257" s="18"/>
    </row>
    <row r="258" spans="1:11">
      <c r="A258" s="29"/>
      <c r="B258" s="27"/>
      <c r="C258" s="83"/>
      <c r="D258" s="83"/>
      <c r="E258" s="28"/>
      <c r="F258" s="46"/>
      <c r="G258" s="28"/>
      <c r="H258" s="28"/>
      <c r="I258" s="28"/>
      <c r="J258" s="28"/>
      <c r="K258" s="18"/>
    </row>
    <row r="259" spans="1:11">
      <c r="A259" s="25"/>
      <c r="B259" s="28"/>
      <c r="C259" s="83"/>
      <c r="D259" s="83"/>
      <c r="E259" s="27"/>
      <c r="F259" s="27"/>
      <c r="G259" s="28"/>
      <c r="H259" s="28"/>
      <c r="I259" s="27"/>
      <c r="J259" s="27"/>
      <c r="K259" s="18"/>
    </row>
    <row r="260" spans="1:11">
      <c r="A260" s="29"/>
      <c r="B260" s="27"/>
      <c r="C260" s="83"/>
      <c r="D260" s="83"/>
      <c r="E260" s="28"/>
      <c r="F260" s="46"/>
      <c r="G260" s="28"/>
      <c r="H260" s="28"/>
      <c r="I260" s="28"/>
      <c r="J260" s="28"/>
      <c r="K260" s="18"/>
    </row>
    <row r="261" spans="1:11">
      <c r="A261" s="29"/>
      <c r="B261" s="27"/>
      <c r="C261" s="83"/>
      <c r="D261" s="83"/>
      <c r="E261" s="28"/>
      <c r="F261" s="46"/>
      <c r="G261" s="28"/>
      <c r="H261" s="28"/>
      <c r="I261" s="28"/>
      <c r="J261" s="28"/>
      <c r="K261" s="18"/>
    </row>
    <row r="262" spans="1:11">
      <c r="A262" s="29"/>
      <c r="B262" s="27"/>
      <c r="C262" s="83"/>
      <c r="D262" s="83"/>
      <c r="E262" s="28"/>
      <c r="F262" s="46"/>
      <c r="G262" s="28"/>
      <c r="H262" s="28"/>
      <c r="I262" s="28"/>
      <c r="J262" s="28"/>
      <c r="K262" s="18"/>
    </row>
    <row r="263" spans="1:11">
      <c r="A263" s="29"/>
      <c r="B263" s="27"/>
      <c r="C263" s="83"/>
      <c r="D263" s="83"/>
      <c r="E263" s="28"/>
      <c r="F263" s="46"/>
      <c r="G263" s="28"/>
      <c r="H263" s="28"/>
      <c r="I263" s="28"/>
      <c r="J263" s="28"/>
      <c r="K263" s="18"/>
    </row>
    <row r="264" spans="1:11">
      <c r="A264" s="29"/>
      <c r="B264" s="27"/>
      <c r="C264" s="83"/>
      <c r="D264" s="83"/>
      <c r="E264" s="28"/>
      <c r="F264" s="46"/>
      <c r="G264" s="28"/>
      <c r="H264" s="28"/>
      <c r="I264" s="28"/>
      <c r="J264" s="28"/>
      <c r="K264" s="18"/>
    </row>
    <row r="265" spans="1:11">
      <c r="A265" s="25"/>
      <c r="B265" s="28"/>
      <c r="C265" s="83"/>
      <c r="D265" s="83"/>
      <c r="E265" s="28"/>
      <c r="F265" s="46"/>
      <c r="G265" s="27"/>
      <c r="H265" s="28"/>
      <c r="I265" s="28"/>
      <c r="J265" s="28"/>
      <c r="K265" s="18"/>
    </row>
    <row r="266" spans="1:11">
      <c r="A266" s="31"/>
      <c r="B266" s="31"/>
      <c r="C266" s="31"/>
      <c r="D266" s="75"/>
      <c r="E266" s="31"/>
      <c r="F266" s="31"/>
      <c r="G266" s="31"/>
      <c r="H266" s="31"/>
      <c r="I266" s="31"/>
      <c r="J266" s="31"/>
      <c r="K266" s="18"/>
    </row>
    <row r="267" spans="1:11">
      <c r="A267" s="19"/>
      <c r="B267" s="18"/>
      <c r="C267" s="18"/>
      <c r="D267" s="73"/>
      <c r="E267" s="18"/>
      <c r="F267" s="18"/>
      <c r="G267" s="18"/>
      <c r="H267" s="18"/>
      <c r="I267" s="18"/>
      <c r="J267" s="18"/>
      <c r="K267" s="18"/>
    </row>
    <row r="268" spans="1:11">
      <c r="A268" s="19"/>
      <c r="B268" s="18"/>
      <c r="C268" s="18"/>
      <c r="D268" s="73"/>
      <c r="E268" s="18"/>
      <c r="F268" s="18"/>
      <c r="G268" s="18"/>
      <c r="H268" s="18"/>
      <c r="I268" s="18"/>
      <c r="J268" s="18"/>
      <c r="K268" s="18"/>
    </row>
    <row r="269" spans="1:11">
      <c r="A269" s="19"/>
      <c r="B269" s="18"/>
      <c r="C269" s="18"/>
      <c r="D269" s="73"/>
      <c r="E269" s="18"/>
      <c r="F269" s="18"/>
      <c r="G269" s="18"/>
      <c r="H269" s="18"/>
      <c r="I269" s="18"/>
      <c r="J269" s="18"/>
      <c r="K269" s="18"/>
    </row>
    <row r="270" spans="1:11">
      <c r="A270" s="19"/>
      <c r="B270" s="18"/>
      <c r="C270" s="18"/>
      <c r="D270" s="73"/>
      <c r="E270" s="18"/>
      <c r="F270" s="18"/>
      <c r="G270" s="18"/>
      <c r="H270" s="18"/>
      <c r="I270" s="18"/>
      <c r="J270" s="18"/>
      <c r="K270" s="18"/>
    </row>
    <row r="271" spans="1:11">
      <c r="A271" s="19"/>
      <c r="B271" s="18"/>
      <c r="C271" s="18"/>
      <c r="D271" s="73"/>
      <c r="E271" s="18"/>
      <c r="F271" s="18"/>
      <c r="G271" s="18"/>
      <c r="H271" s="18"/>
      <c r="I271" s="18"/>
      <c r="J271" s="18"/>
      <c r="K271" s="18"/>
    </row>
    <row r="272" spans="1:11">
      <c r="A272" s="19"/>
      <c r="B272" s="18"/>
      <c r="C272" s="18"/>
      <c r="D272" s="73"/>
      <c r="E272" s="18"/>
      <c r="F272" s="18"/>
      <c r="G272" s="18"/>
      <c r="H272" s="18"/>
      <c r="I272" s="18"/>
      <c r="J272" s="18"/>
      <c r="K272" s="18"/>
    </row>
    <row r="273" spans="1:11">
      <c r="A273" s="19"/>
      <c r="B273" s="18"/>
      <c r="C273" s="18"/>
      <c r="D273" s="73"/>
      <c r="E273" s="18"/>
      <c r="F273" s="18"/>
      <c r="G273" s="18"/>
      <c r="H273" s="18"/>
      <c r="I273" s="18"/>
      <c r="J273" s="18"/>
      <c r="K273" s="18"/>
    </row>
    <row r="274" spans="1:11">
      <c r="A274" s="19"/>
      <c r="B274" s="18"/>
      <c r="C274" s="18"/>
      <c r="D274" s="73"/>
      <c r="E274" s="18"/>
      <c r="F274" s="18"/>
      <c r="G274" s="18"/>
      <c r="H274" s="18"/>
      <c r="I274" s="18"/>
      <c r="J274" s="18"/>
      <c r="K274" s="18"/>
    </row>
    <row r="275" spans="1:11">
      <c r="A275" s="18"/>
      <c r="B275" s="18"/>
      <c r="C275" s="18"/>
      <c r="D275" s="73"/>
      <c r="E275" s="18"/>
      <c r="F275" s="18"/>
      <c r="G275" s="18"/>
      <c r="H275" s="18"/>
      <c r="I275" s="18"/>
      <c r="J275" s="18"/>
      <c r="K275" s="18"/>
    </row>
    <row r="276" spans="1:11">
      <c r="A276" s="35"/>
      <c r="B276" s="18"/>
      <c r="C276" s="18"/>
      <c r="D276" s="73"/>
      <c r="E276" s="18"/>
      <c r="F276" s="18"/>
      <c r="G276" s="18"/>
      <c r="H276" s="18"/>
      <c r="I276" s="18"/>
      <c r="J276" s="18"/>
      <c r="K276" s="18"/>
    </row>
    <row r="277" spans="1:11">
      <c r="A277" s="17"/>
      <c r="B277" s="18"/>
      <c r="C277" s="18"/>
      <c r="D277" s="73"/>
      <c r="E277" s="18"/>
      <c r="F277" s="18"/>
      <c r="G277" s="18"/>
      <c r="H277" s="18"/>
      <c r="I277" s="18"/>
      <c r="J277" s="18"/>
      <c r="K277" s="18"/>
    </row>
    <row r="278" spans="1:11">
      <c r="A278" s="19"/>
      <c r="B278" s="18"/>
      <c r="C278" s="18"/>
      <c r="D278" s="73"/>
      <c r="E278" s="18"/>
      <c r="F278" s="18"/>
      <c r="G278" s="18"/>
      <c r="H278" s="18"/>
      <c r="I278" s="18"/>
      <c r="J278" s="18"/>
      <c r="K278" s="18"/>
    </row>
    <row r="279" spans="1:11">
      <c r="A279" s="90"/>
      <c r="B279" s="91"/>
      <c r="C279" s="20"/>
      <c r="D279" s="92"/>
      <c r="E279" s="92"/>
      <c r="F279" s="92"/>
      <c r="G279" s="92"/>
      <c r="H279" s="92"/>
      <c r="I279" s="92"/>
      <c r="J279" s="92"/>
      <c r="K279" s="18"/>
    </row>
    <row r="280" spans="1:11">
      <c r="A280" s="90"/>
      <c r="B280" s="91"/>
      <c r="C280" s="81"/>
      <c r="D280" s="81"/>
      <c r="E280" s="21"/>
      <c r="F280" s="81"/>
      <c r="G280" s="81"/>
      <c r="H280" s="21"/>
      <c r="I280" s="22"/>
      <c r="J280" s="81"/>
      <c r="K280" s="18"/>
    </row>
    <row r="281" spans="1:11">
      <c r="A281" s="90"/>
      <c r="B281" s="91"/>
      <c r="C281" s="81"/>
      <c r="D281" s="81"/>
      <c r="E281" s="21"/>
      <c r="F281" s="81"/>
      <c r="G281" s="81"/>
      <c r="H281" s="21"/>
      <c r="I281" s="22"/>
      <c r="J281" s="81"/>
      <c r="K281" s="18"/>
    </row>
    <row r="282" spans="1:11">
      <c r="A282" s="90"/>
      <c r="B282" s="91"/>
      <c r="C282" s="81"/>
      <c r="D282" s="81"/>
      <c r="E282" s="23"/>
      <c r="F282" s="81"/>
      <c r="G282" s="81"/>
      <c r="H282" s="23"/>
      <c r="I282" s="22"/>
      <c r="J282" s="81"/>
      <c r="K282" s="18"/>
    </row>
    <row r="283" spans="1:11">
      <c r="A283" s="90"/>
      <c r="B283" s="24"/>
      <c r="C283" s="82"/>
      <c r="D283" s="82"/>
      <c r="E283" s="24"/>
      <c r="F283" s="47"/>
      <c r="G283" s="24"/>
      <c r="H283" s="24"/>
      <c r="I283" s="20"/>
      <c r="J283" s="24"/>
      <c r="K283" s="18"/>
    </row>
    <row r="284" spans="1:11">
      <c r="A284" s="25"/>
      <c r="B284" s="24"/>
      <c r="C284" s="82"/>
      <c r="D284" s="82"/>
      <c r="E284" s="24"/>
      <c r="F284" s="47"/>
      <c r="G284" s="24"/>
      <c r="H284" s="24"/>
      <c r="I284" s="24"/>
      <c r="J284" s="24"/>
      <c r="K284" s="18"/>
    </row>
    <row r="285" spans="1:11">
      <c r="A285" s="26"/>
      <c r="B285" s="27"/>
      <c r="C285" s="83"/>
      <c r="D285" s="83"/>
      <c r="E285" s="28"/>
      <c r="F285" s="46"/>
      <c r="G285" s="28"/>
      <c r="H285" s="28"/>
      <c r="I285" s="28"/>
      <c r="J285" s="28"/>
      <c r="K285" s="18"/>
    </row>
    <row r="286" spans="1:11">
      <c r="A286" s="29"/>
      <c r="B286" s="27"/>
      <c r="C286" s="83"/>
      <c r="D286" s="83"/>
      <c r="E286" s="28"/>
      <c r="F286" s="46"/>
      <c r="G286" s="28"/>
      <c r="H286" s="28"/>
      <c r="I286" s="28"/>
      <c r="J286" s="28"/>
      <c r="K286" s="18"/>
    </row>
    <row r="287" spans="1:11">
      <c r="A287" s="29"/>
      <c r="B287" s="27"/>
      <c r="C287" s="83"/>
      <c r="D287" s="83"/>
      <c r="E287" s="28"/>
      <c r="F287" s="46"/>
      <c r="G287" s="28"/>
      <c r="H287" s="28"/>
      <c r="I287" s="28"/>
      <c r="J287" s="28"/>
      <c r="K287" s="18"/>
    </row>
    <row r="288" spans="1:11">
      <c r="A288" s="29"/>
      <c r="B288" s="27"/>
      <c r="C288" s="83"/>
      <c r="D288" s="83"/>
      <c r="E288" s="28"/>
      <c r="F288" s="46"/>
      <c r="G288" s="28"/>
      <c r="H288" s="28"/>
      <c r="I288" s="28"/>
      <c r="J288" s="28"/>
      <c r="K288" s="18"/>
    </row>
    <row r="289" spans="1:11">
      <c r="A289" s="29"/>
      <c r="B289" s="27"/>
      <c r="C289" s="83"/>
      <c r="D289" s="83"/>
      <c r="E289" s="28"/>
      <c r="F289" s="46"/>
      <c r="G289" s="28"/>
      <c r="H289" s="28"/>
      <c r="I289" s="28"/>
      <c r="J289" s="28"/>
      <c r="K289" s="18"/>
    </row>
    <row r="290" spans="1:11">
      <c r="A290" s="29"/>
      <c r="B290" s="27"/>
      <c r="C290" s="83"/>
      <c r="D290" s="83"/>
      <c r="E290" s="28"/>
      <c r="F290" s="46"/>
      <c r="G290" s="28"/>
      <c r="H290" s="28"/>
      <c r="I290" s="28"/>
      <c r="J290" s="28"/>
      <c r="K290" s="18"/>
    </row>
    <row r="291" spans="1:11">
      <c r="A291" s="26"/>
      <c r="B291" s="28"/>
      <c r="C291" s="83"/>
      <c r="D291" s="83"/>
      <c r="E291" s="28"/>
      <c r="F291" s="46"/>
      <c r="G291" s="28"/>
      <c r="H291" s="28"/>
      <c r="I291" s="27"/>
      <c r="J291" s="28"/>
      <c r="K291" s="18"/>
    </row>
    <row r="292" spans="1:11">
      <c r="A292" s="29"/>
      <c r="B292" s="27"/>
      <c r="C292" s="83"/>
      <c r="D292" s="83"/>
      <c r="E292" s="28"/>
      <c r="F292" s="46"/>
      <c r="G292" s="28"/>
      <c r="H292" s="28"/>
      <c r="I292" s="28"/>
      <c r="J292" s="28"/>
      <c r="K292" s="18"/>
    </row>
    <row r="293" spans="1:11">
      <c r="A293" s="29"/>
      <c r="B293" s="27"/>
      <c r="C293" s="83"/>
      <c r="D293" s="83"/>
      <c r="E293" s="28"/>
      <c r="F293" s="46"/>
      <c r="G293" s="28"/>
      <c r="H293" s="28"/>
      <c r="I293" s="28"/>
      <c r="J293" s="28"/>
      <c r="K293" s="18"/>
    </row>
    <row r="294" spans="1:11">
      <c r="A294" s="29"/>
      <c r="B294" s="27"/>
      <c r="C294" s="83"/>
      <c r="D294" s="83"/>
      <c r="E294" s="28"/>
      <c r="F294" s="46"/>
      <c r="G294" s="28"/>
      <c r="H294" s="28"/>
      <c r="I294" s="28"/>
      <c r="J294" s="28"/>
      <c r="K294" s="18"/>
    </row>
    <row r="295" spans="1:11">
      <c r="A295" s="29"/>
      <c r="B295" s="27"/>
      <c r="C295" s="83"/>
      <c r="D295" s="83"/>
      <c r="E295" s="28"/>
      <c r="F295" s="46"/>
      <c r="G295" s="28"/>
      <c r="H295" s="28"/>
      <c r="I295" s="28"/>
      <c r="J295" s="28"/>
      <c r="K295" s="18"/>
    </row>
    <row r="296" spans="1:11">
      <c r="A296" s="29"/>
      <c r="B296" s="27"/>
      <c r="C296" s="83"/>
      <c r="D296" s="83"/>
      <c r="E296" s="28"/>
      <c r="F296" s="46"/>
      <c r="G296" s="28"/>
      <c r="H296" s="28"/>
      <c r="I296" s="28"/>
      <c r="J296" s="28"/>
      <c r="K296" s="18"/>
    </row>
    <row r="297" spans="1:11">
      <c r="A297" s="26"/>
      <c r="B297" s="27"/>
      <c r="C297" s="83"/>
      <c r="D297" s="83"/>
      <c r="E297" s="28"/>
      <c r="F297" s="46"/>
      <c r="G297" s="28"/>
      <c r="H297" s="28"/>
      <c r="I297" s="27"/>
      <c r="J297" s="28"/>
      <c r="K297" s="18"/>
    </row>
    <row r="298" spans="1:11">
      <c r="A298" s="29"/>
      <c r="B298" s="27"/>
      <c r="C298" s="83"/>
      <c r="D298" s="83"/>
      <c r="E298" s="28"/>
      <c r="F298" s="46"/>
      <c r="G298" s="28"/>
      <c r="H298" s="28"/>
      <c r="I298" s="28"/>
      <c r="J298" s="28"/>
      <c r="K298" s="18"/>
    </row>
    <row r="299" spans="1:11">
      <c r="A299" s="29"/>
      <c r="B299" s="27"/>
      <c r="C299" s="83"/>
      <c r="D299" s="83"/>
      <c r="E299" s="28"/>
      <c r="F299" s="46"/>
      <c r="G299" s="28"/>
      <c r="H299" s="28"/>
      <c r="I299" s="28"/>
      <c r="J299" s="28"/>
      <c r="K299" s="18"/>
    </row>
    <row r="300" spans="1:11">
      <c r="A300" s="29"/>
      <c r="B300" s="27"/>
      <c r="C300" s="83"/>
      <c r="D300" s="83"/>
      <c r="E300" s="28"/>
      <c r="F300" s="46"/>
      <c r="G300" s="28"/>
      <c r="H300" s="28"/>
      <c r="I300" s="28"/>
      <c r="J300" s="28"/>
      <c r="K300" s="18"/>
    </row>
    <row r="301" spans="1:11">
      <c r="A301" s="29"/>
      <c r="B301" s="27"/>
      <c r="C301" s="83"/>
      <c r="D301" s="83"/>
      <c r="E301" s="28"/>
      <c r="F301" s="46"/>
      <c r="G301" s="28"/>
      <c r="H301" s="28"/>
      <c r="I301" s="28"/>
      <c r="J301" s="28"/>
      <c r="K301" s="18"/>
    </row>
    <row r="302" spans="1:11">
      <c r="A302" s="29"/>
      <c r="B302" s="27"/>
      <c r="C302" s="83"/>
      <c r="D302" s="83"/>
      <c r="E302" s="28"/>
      <c r="F302" s="46"/>
      <c r="G302" s="28"/>
      <c r="H302" s="28"/>
      <c r="I302" s="28"/>
      <c r="J302" s="28"/>
      <c r="K302" s="18"/>
    </row>
    <row r="303" spans="1:11">
      <c r="A303" s="26"/>
      <c r="B303" s="28"/>
      <c r="C303" s="83"/>
      <c r="D303" s="83"/>
      <c r="E303" s="28"/>
      <c r="F303" s="46"/>
      <c r="G303" s="28"/>
      <c r="H303" s="28"/>
      <c r="I303" s="27"/>
      <c r="J303" s="27"/>
      <c r="K303" s="18"/>
    </row>
    <row r="304" spans="1:11">
      <c r="A304" s="29"/>
      <c r="B304" s="27"/>
      <c r="C304" s="83"/>
      <c r="D304" s="83"/>
      <c r="E304" s="28"/>
      <c r="F304" s="46"/>
      <c r="G304" s="28"/>
      <c r="H304" s="28"/>
      <c r="I304" s="28"/>
      <c r="J304" s="28"/>
      <c r="K304" s="18"/>
    </row>
    <row r="305" spans="1:11">
      <c r="A305" s="29"/>
      <c r="B305" s="27"/>
      <c r="C305" s="83"/>
      <c r="D305" s="83"/>
      <c r="E305" s="28"/>
      <c r="F305" s="46"/>
      <c r="G305" s="28"/>
      <c r="H305" s="28"/>
      <c r="I305" s="28"/>
      <c r="J305" s="28"/>
      <c r="K305" s="18"/>
    </row>
    <row r="306" spans="1:11">
      <c r="A306" s="29"/>
      <c r="B306" s="27"/>
      <c r="C306" s="83"/>
      <c r="D306" s="83"/>
      <c r="E306" s="28"/>
      <c r="F306" s="46"/>
      <c r="G306" s="28"/>
      <c r="H306" s="28"/>
      <c r="I306" s="28"/>
      <c r="J306" s="28"/>
      <c r="K306" s="18"/>
    </row>
    <row r="307" spans="1:11">
      <c r="A307" s="29"/>
      <c r="B307" s="27"/>
      <c r="C307" s="83"/>
      <c r="D307" s="83"/>
      <c r="E307" s="28"/>
      <c r="F307" s="46"/>
      <c r="G307" s="28"/>
      <c r="H307" s="28"/>
      <c r="I307" s="28"/>
      <c r="J307" s="28"/>
      <c r="K307" s="18"/>
    </row>
    <row r="308" spans="1:11">
      <c r="A308" s="29"/>
      <c r="B308" s="27"/>
      <c r="C308" s="83"/>
      <c r="D308" s="83"/>
      <c r="E308" s="28"/>
      <c r="F308" s="46"/>
      <c r="G308" s="28"/>
      <c r="H308" s="28"/>
      <c r="I308" s="28"/>
      <c r="J308" s="28"/>
      <c r="K308" s="18"/>
    </row>
    <row r="309" spans="1:11">
      <c r="A309" s="26"/>
      <c r="B309" s="28"/>
      <c r="C309" s="83"/>
      <c r="D309" s="83"/>
      <c r="E309" s="28"/>
      <c r="F309" s="46"/>
      <c r="G309" s="28"/>
      <c r="H309" s="28"/>
      <c r="I309" s="27"/>
      <c r="J309" s="27"/>
      <c r="K309" s="18"/>
    </row>
    <row r="310" spans="1:11">
      <c r="A310" s="29"/>
      <c r="B310" s="27"/>
      <c r="C310" s="83"/>
      <c r="D310" s="83"/>
      <c r="E310" s="28"/>
      <c r="F310" s="46"/>
      <c r="G310" s="28"/>
      <c r="H310" s="28"/>
      <c r="I310" s="28"/>
      <c r="J310" s="28"/>
      <c r="K310" s="18"/>
    </row>
    <row r="311" spans="1:11">
      <c r="A311" s="29"/>
      <c r="B311" s="27"/>
      <c r="C311" s="83"/>
      <c r="D311" s="83"/>
      <c r="E311" s="28"/>
      <c r="F311" s="46"/>
      <c r="G311" s="28"/>
      <c r="H311" s="28"/>
      <c r="I311" s="28"/>
      <c r="J311" s="28"/>
      <c r="K311" s="18"/>
    </row>
    <row r="312" spans="1:11">
      <c r="A312" s="29"/>
      <c r="B312" s="27"/>
      <c r="C312" s="83"/>
      <c r="D312" s="83"/>
      <c r="E312" s="28"/>
      <c r="F312" s="46"/>
      <c r="G312" s="28"/>
      <c r="H312" s="28"/>
      <c r="I312" s="28"/>
      <c r="J312" s="28"/>
      <c r="K312" s="18"/>
    </row>
    <row r="313" spans="1:11">
      <c r="A313" s="29"/>
      <c r="B313" s="27"/>
      <c r="C313" s="83"/>
      <c r="D313" s="83"/>
      <c r="E313" s="28"/>
      <c r="F313" s="46"/>
      <c r="G313" s="28"/>
      <c r="H313" s="28"/>
      <c r="I313" s="28"/>
      <c r="J313" s="28"/>
      <c r="K313" s="18"/>
    </row>
    <row r="314" spans="1:11">
      <c r="A314" s="29"/>
      <c r="B314" s="27"/>
      <c r="C314" s="83"/>
      <c r="D314" s="83"/>
      <c r="E314" s="28"/>
      <c r="F314" s="46"/>
      <c r="G314" s="28"/>
      <c r="H314" s="28"/>
      <c r="I314" s="28"/>
      <c r="J314" s="28"/>
      <c r="K314" s="18"/>
    </row>
    <row r="315" spans="1:11">
      <c r="A315" s="26"/>
      <c r="B315" s="28"/>
      <c r="C315" s="83"/>
      <c r="D315" s="83"/>
      <c r="E315" s="28"/>
      <c r="F315" s="46"/>
      <c r="G315" s="28"/>
      <c r="H315" s="28"/>
      <c r="I315" s="27"/>
      <c r="J315" s="27"/>
      <c r="K315" s="18"/>
    </row>
    <row r="316" spans="1:11">
      <c r="A316" s="29"/>
      <c r="B316" s="27"/>
      <c r="C316" s="83"/>
      <c r="D316" s="83"/>
      <c r="E316" s="28"/>
      <c r="F316" s="46"/>
      <c r="G316" s="28"/>
      <c r="H316" s="28"/>
      <c r="I316" s="28"/>
      <c r="J316" s="28"/>
      <c r="K316" s="18"/>
    </row>
    <row r="317" spans="1:11">
      <c r="A317" s="29"/>
      <c r="B317" s="27"/>
      <c r="C317" s="83"/>
      <c r="D317" s="83"/>
      <c r="E317" s="28"/>
      <c r="F317" s="46"/>
      <c r="G317" s="28"/>
      <c r="H317" s="28"/>
      <c r="I317" s="28"/>
      <c r="J317" s="28"/>
      <c r="K317" s="18"/>
    </row>
    <row r="318" spans="1:11">
      <c r="A318" s="29"/>
      <c r="B318" s="27"/>
      <c r="C318" s="83"/>
      <c r="D318" s="83"/>
      <c r="E318" s="28"/>
      <c r="F318" s="46"/>
      <c r="G318" s="28"/>
      <c r="H318" s="28"/>
      <c r="I318" s="28"/>
      <c r="J318" s="28"/>
      <c r="K318" s="18"/>
    </row>
    <row r="319" spans="1:11">
      <c r="A319" s="29"/>
      <c r="B319" s="27"/>
      <c r="C319" s="83"/>
      <c r="D319" s="83"/>
      <c r="E319" s="28"/>
      <c r="F319" s="46"/>
      <c r="G319" s="28"/>
      <c r="H319" s="28"/>
      <c r="I319" s="28"/>
      <c r="J319" s="28"/>
      <c r="K319" s="18"/>
    </row>
    <row r="320" spans="1:11">
      <c r="A320" s="29"/>
      <c r="B320" s="27"/>
      <c r="C320" s="83"/>
      <c r="D320" s="83"/>
      <c r="E320" s="28"/>
      <c r="F320" s="46"/>
      <c r="G320" s="28"/>
      <c r="H320" s="28"/>
      <c r="I320" s="28"/>
      <c r="J320" s="28"/>
      <c r="K320" s="18"/>
    </row>
    <row r="321" spans="1:11">
      <c r="A321" s="25"/>
      <c r="B321" s="30"/>
      <c r="C321" s="83"/>
      <c r="D321" s="83"/>
      <c r="E321" s="28"/>
      <c r="F321" s="46"/>
      <c r="G321" s="28"/>
      <c r="H321" s="28"/>
      <c r="I321" s="27"/>
      <c r="J321" s="28"/>
      <c r="K321" s="18"/>
    </row>
    <row r="322" spans="1:11">
      <c r="A322" s="29"/>
      <c r="B322" s="27"/>
      <c r="C322" s="83"/>
      <c r="D322" s="83"/>
      <c r="E322" s="28"/>
      <c r="F322" s="46"/>
      <c r="G322" s="28"/>
      <c r="H322" s="28"/>
      <c r="I322" s="28"/>
      <c r="J322" s="28"/>
      <c r="K322" s="18"/>
    </row>
    <row r="323" spans="1:11">
      <c r="A323" s="29"/>
      <c r="B323" s="27"/>
      <c r="C323" s="83"/>
      <c r="D323" s="83"/>
      <c r="E323" s="28"/>
      <c r="F323" s="46"/>
      <c r="G323" s="28"/>
      <c r="H323" s="28"/>
      <c r="I323" s="28"/>
      <c r="J323" s="28"/>
      <c r="K323" s="18"/>
    </row>
    <row r="324" spans="1:11">
      <c r="A324" s="29"/>
      <c r="B324" s="27"/>
      <c r="C324" s="83"/>
      <c r="D324" s="83"/>
      <c r="E324" s="28"/>
      <c r="F324" s="46"/>
      <c r="G324" s="28"/>
      <c r="H324" s="28"/>
      <c r="I324" s="28"/>
      <c r="J324" s="28"/>
      <c r="K324" s="18"/>
    </row>
    <row r="325" spans="1:11">
      <c r="A325" s="29"/>
      <c r="B325" s="27"/>
      <c r="C325" s="83"/>
      <c r="D325" s="83"/>
      <c r="E325" s="28"/>
      <c r="F325" s="46"/>
      <c r="G325" s="28"/>
      <c r="H325" s="28"/>
      <c r="I325" s="28"/>
      <c r="J325" s="28"/>
      <c r="K325" s="18"/>
    </row>
    <row r="326" spans="1:11">
      <c r="A326" s="29"/>
      <c r="B326" s="27"/>
      <c r="C326" s="83"/>
      <c r="D326" s="83"/>
      <c r="E326" s="28"/>
      <c r="F326" s="46"/>
      <c r="G326" s="28"/>
      <c r="H326" s="28"/>
      <c r="I326" s="28"/>
      <c r="J326" s="28"/>
      <c r="K326" s="18"/>
    </row>
    <row r="327" spans="1:11">
      <c r="A327" s="25"/>
      <c r="B327" s="28"/>
      <c r="C327" s="83"/>
      <c r="D327" s="83"/>
      <c r="E327" s="27"/>
      <c r="F327" s="27"/>
      <c r="G327" s="28"/>
      <c r="H327" s="28"/>
      <c r="I327" s="27"/>
      <c r="J327" s="27"/>
      <c r="K327" s="18"/>
    </row>
    <row r="328" spans="1:11">
      <c r="A328" s="29"/>
      <c r="B328" s="27"/>
      <c r="C328" s="83"/>
      <c r="D328" s="83"/>
      <c r="E328" s="28"/>
      <c r="F328" s="46"/>
      <c r="G328" s="28"/>
      <c r="H328" s="28"/>
      <c r="I328" s="28"/>
      <c r="J328" s="28"/>
      <c r="K328" s="18"/>
    </row>
    <row r="329" spans="1:11">
      <c r="A329" s="29"/>
      <c r="B329" s="27"/>
      <c r="C329" s="83"/>
      <c r="D329" s="83"/>
      <c r="E329" s="28"/>
      <c r="F329" s="46"/>
      <c r="G329" s="28"/>
      <c r="H329" s="28"/>
      <c r="I329" s="28"/>
      <c r="J329" s="28"/>
      <c r="K329" s="18"/>
    </row>
    <row r="330" spans="1:11">
      <c r="A330" s="29"/>
      <c r="B330" s="27"/>
      <c r="C330" s="83"/>
      <c r="D330" s="83"/>
      <c r="E330" s="28"/>
      <c r="F330" s="46"/>
      <c r="G330" s="28"/>
      <c r="H330" s="28"/>
      <c r="I330" s="28"/>
      <c r="J330" s="28"/>
      <c r="K330" s="18"/>
    </row>
    <row r="331" spans="1:11">
      <c r="A331" s="29"/>
      <c r="B331" s="27"/>
      <c r="C331" s="83"/>
      <c r="D331" s="83"/>
      <c r="E331" s="28"/>
      <c r="F331" s="46"/>
      <c r="G331" s="28"/>
      <c r="H331" s="28"/>
      <c r="I331" s="28"/>
      <c r="J331" s="28"/>
      <c r="K331" s="18"/>
    </row>
    <row r="332" spans="1:11">
      <c r="A332" s="29"/>
      <c r="B332" s="27"/>
      <c r="C332" s="83"/>
      <c r="D332" s="83"/>
      <c r="E332" s="28"/>
      <c r="F332" s="46"/>
      <c r="G332" s="28"/>
      <c r="H332" s="28"/>
      <c r="I332" s="28"/>
      <c r="J332" s="28"/>
      <c r="K332" s="18"/>
    </row>
    <row r="333" spans="1:11">
      <c r="A333" s="25"/>
      <c r="B333" s="28"/>
      <c r="C333" s="83"/>
      <c r="D333" s="83"/>
      <c r="E333" s="28"/>
      <c r="F333" s="46"/>
      <c r="G333" s="27"/>
      <c r="H333" s="28"/>
      <c r="I333" s="28"/>
      <c r="J333" s="28"/>
      <c r="K333" s="18"/>
    </row>
    <row r="334" spans="1:11">
      <c r="A334" s="31"/>
      <c r="B334" s="31"/>
      <c r="C334" s="31"/>
      <c r="D334" s="75"/>
      <c r="E334" s="31"/>
      <c r="F334" s="31"/>
      <c r="G334" s="31"/>
      <c r="H334" s="31"/>
      <c r="I334" s="31"/>
      <c r="J334" s="31"/>
      <c r="K334" s="18"/>
    </row>
    <row r="335" spans="1:11">
      <c r="A335" s="19"/>
      <c r="B335" s="18"/>
      <c r="C335" s="18"/>
      <c r="D335" s="73"/>
      <c r="E335" s="18"/>
      <c r="F335" s="18"/>
      <c r="G335" s="18"/>
      <c r="H335" s="18"/>
      <c r="I335" s="18"/>
      <c r="J335" s="18"/>
      <c r="K335" s="18"/>
    </row>
    <row r="336" spans="1:11">
      <c r="A336" s="18"/>
      <c r="B336" s="18"/>
      <c r="C336" s="18"/>
      <c r="D336" s="73"/>
      <c r="E336" s="18"/>
      <c r="F336" s="18"/>
      <c r="G336" s="18"/>
      <c r="H336" s="18"/>
      <c r="I336" s="18"/>
      <c r="J336" s="18"/>
      <c r="K336" s="18"/>
    </row>
    <row r="337" spans="1:11">
      <c r="A337" s="18"/>
      <c r="B337" s="18"/>
      <c r="C337" s="18"/>
      <c r="D337" s="73"/>
      <c r="E337" s="18"/>
      <c r="F337" s="18"/>
      <c r="G337" s="18"/>
      <c r="H337" s="18"/>
      <c r="I337" s="18"/>
      <c r="J337" s="18"/>
      <c r="K337" s="18"/>
    </row>
  </sheetData>
  <mergeCells count="190">
    <mergeCell ref="A1:F1"/>
    <mergeCell ref="A2:F2"/>
    <mergeCell ref="A3:F3"/>
    <mergeCell ref="A4:F4"/>
    <mergeCell ref="C328:D328"/>
    <mergeCell ref="C329:D329"/>
    <mergeCell ref="C316:D316"/>
    <mergeCell ref="C317:D317"/>
    <mergeCell ref="C318:D318"/>
    <mergeCell ref="C319:D319"/>
    <mergeCell ref="C320:D320"/>
    <mergeCell ref="C321:D321"/>
    <mergeCell ref="C310:D310"/>
    <mergeCell ref="C311:D311"/>
    <mergeCell ref="C312:D312"/>
    <mergeCell ref="C313:D313"/>
    <mergeCell ref="C314:D314"/>
    <mergeCell ref="C315:D315"/>
    <mergeCell ref="C304:D304"/>
    <mergeCell ref="C305:D305"/>
    <mergeCell ref="C306:D306"/>
    <mergeCell ref="C307:D307"/>
    <mergeCell ref="C308:D308"/>
    <mergeCell ref="C309:D309"/>
    <mergeCell ref="C330:D330"/>
    <mergeCell ref="C331:D331"/>
    <mergeCell ref="C332:D332"/>
    <mergeCell ref="C333:D333"/>
    <mergeCell ref="C322:D322"/>
    <mergeCell ref="C323:D323"/>
    <mergeCell ref="C324:D324"/>
    <mergeCell ref="C325:D325"/>
    <mergeCell ref="C326:D326"/>
    <mergeCell ref="C327:D327"/>
    <mergeCell ref="C298:D298"/>
    <mergeCell ref="C299:D299"/>
    <mergeCell ref="C300:D300"/>
    <mergeCell ref="C301:D301"/>
    <mergeCell ref="C302:D302"/>
    <mergeCell ref="C303:D303"/>
    <mergeCell ref="C292:D292"/>
    <mergeCell ref="C293:D293"/>
    <mergeCell ref="C294:D294"/>
    <mergeCell ref="C295:D295"/>
    <mergeCell ref="C296:D296"/>
    <mergeCell ref="C297:D297"/>
    <mergeCell ref="C286:D286"/>
    <mergeCell ref="C287:D287"/>
    <mergeCell ref="C288:D288"/>
    <mergeCell ref="C289:D289"/>
    <mergeCell ref="C290:D290"/>
    <mergeCell ref="C291:D291"/>
    <mergeCell ref="G280:G282"/>
    <mergeCell ref="J280:J282"/>
    <mergeCell ref="C283:D283"/>
    <mergeCell ref="C284:D284"/>
    <mergeCell ref="C285:D285"/>
    <mergeCell ref="C263:D263"/>
    <mergeCell ref="C264:D264"/>
    <mergeCell ref="C265:D265"/>
    <mergeCell ref="A279:A283"/>
    <mergeCell ref="B279:B282"/>
    <mergeCell ref="D279:J279"/>
    <mergeCell ref="C280:D280"/>
    <mergeCell ref="C281:D281"/>
    <mergeCell ref="C282:D282"/>
    <mergeCell ref="F280:F282"/>
    <mergeCell ref="C257:D257"/>
    <mergeCell ref="C258:D258"/>
    <mergeCell ref="C259:D259"/>
    <mergeCell ref="C260:D260"/>
    <mergeCell ref="C261:D261"/>
    <mergeCell ref="C262:D262"/>
    <mergeCell ref="C251:D251"/>
    <mergeCell ref="C252:D252"/>
    <mergeCell ref="C253:D253"/>
    <mergeCell ref="C254:D254"/>
    <mergeCell ref="C255:D255"/>
    <mergeCell ref="C256:D256"/>
    <mergeCell ref="C245:D245"/>
    <mergeCell ref="C246:D246"/>
    <mergeCell ref="C247:D247"/>
    <mergeCell ref="C248:D248"/>
    <mergeCell ref="C249:D249"/>
    <mergeCell ref="C250:D250"/>
    <mergeCell ref="C239:D239"/>
    <mergeCell ref="C240:D240"/>
    <mergeCell ref="C241:D241"/>
    <mergeCell ref="C242:D242"/>
    <mergeCell ref="C243:D243"/>
    <mergeCell ref="C244:D244"/>
    <mergeCell ref="C233:D233"/>
    <mergeCell ref="C234:D234"/>
    <mergeCell ref="C235:D235"/>
    <mergeCell ref="C236:D236"/>
    <mergeCell ref="C237:D237"/>
    <mergeCell ref="C238:D238"/>
    <mergeCell ref="C227:D227"/>
    <mergeCell ref="C228:D228"/>
    <mergeCell ref="C229:D229"/>
    <mergeCell ref="C230:D230"/>
    <mergeCell ref="C231:D231"/>
    <mergeCell ref="C232:D232"/>
    <mergeCell ref="C221:D221"/>
    <mergeCell ref="C222:D222"/>
    <mergeCell ref="C223:D223"/>
    <mergeCell ref="C224:D224"/>
    <mergeCell ref="C225:D225"/>
    <mergeCell ref="C226:D226"/>
    <mergeCell ref="C215:D215"/>
    <mergeCell ref="C216:D216"/>
    <mergeCell ref="C217:D217"/>
    <mergeCell ref="C218:D218"/>
    <mergeCell ref="C219:D219"/>
    <mergeCell ref="C220:D220"/>
    <mergeCell ref="A211:A215"/>
    <mergeCell ref="B211:B214"/>
    <mergeCell ref="D211:J211"/>
    <mergeCell ref="C212:D212"/>
    <mergeCell ref="C213:D213"/>
    <mergeCell ref="C214:D214"/>
    <mergeCell ref="F212:F214"/>
    <mergeCell ref="G212:G214"/>
    <mergeCell ref="J212:J214"/>
    <mergeCell ref="C195:D195"/>
    <mergeCell ref="C196:D196"/>
    <mergeCell ref="C197:D197"/>
    <mergeCell ref="C198:D198"/>
    <mergeCell ref="C199:D199"/>
    <mergeCell ref="C200:D200"/>
    <mergeCell ref="C189:D189"/>
    <mergeCell ref="C190:D190"/>
    <mergeCell ref="C191:D191"/>
    <mergeCell ref="C192:D192"/>
    <mergeCell ref="C193:D193"/>
    <mergeCell ref="C194:D194"/>
    <mergeCell ref="C183:D183"/>
    <mergeCell ref="C184:D184"/>
    <mergeCell ref="C185:D185"/>
    <mergeCell ref="C186:D186"/>
    <mergeCell ref="C187:D187"/>
    <mergeCell ref="C188:D188"/>
    <mergeCell ref="C177:D177"/>
    <mergeCell ref="C178:D178"/>
    <mergeCell ref="C179:D179"/>
    <mergeCell ref="C180:D180"/>
    <mergeCell ref="C181:D181"/>
    <mergeCell ref="C182:D182"/>
    <mergeCell ref="C171:D171"/>
    <mergeCell ref="C172:D172"/>
    <mergeCell ref="C173:D173"/>
    <mergeCell ref="C174:D174"/>
    <mergeCell ref="C175:D175"/>
    <mergeCell ref="C176:D176"/>
    <mergeCell ref="C165:D165"/>
    <mergeCell ref="C166:D166"/>
    <mergeCell ref="C167:D167"/>
    <mergeCell ref="C168:D168"/>
    <mergeCell ref="C169:D169"/>
    <mergeCell ref="C170:D170"/>
    <mergeCell ref="C159:D159"/>
    <mergeCell ref="C160:D160"/>
    <mergeCell ref="C161:D161"/>
    <mergeCell ref="C162:D162"/>
    <mergeCell ref="C163:D163"/>
    <mergeCell ref="C164:D164"/>
    <mergeCell ref="C153:D153"/>
    <mergeCell ref="C154:D154"/>
    <mergeCell ref="C155:D155"/>
    <mergeCell ref="C156:D156"/>
    <mergeCell ref="C157:D157"/>
    <mergeCell ref="C158:D158"/>
    <mergeCell ref="G147:G149"/>
    <mergeCell ref="J147:J149"/>
    <mergeCell ref="C150:D150"/>
    <mergeCell ref="C151:D151"/>
    <mergeCell ref="C152:D152"/>
    <mergeCell ref="A5:A6"/>
    <mergeCell ref="C5:C6"/>
    <mergeCell ref="D5:D6"/>
    <mergeCell ref="A146:A150"/>
    <mergeCell ref="B146:B149"/>
    <mergeCell ref="D146:J146"/>
    <mergeCell ref="C147:D147"/>
    <mergeCell ref="C148:D148"/>
    <mergeCell ref="C149:D149"/>
    <mergeCell ref="F147:F149"/>
    <mergeCell ref="B5:B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143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L59"/>
  <sheetViews>
    <sheetView view="pageBreakPreview" zoomScaleSheetLayoutView="100" workbookViewId="0">
      <pane ySplit="7" topLeftCell="A38" activePane="bottomLeft" state="frozen"/>
      <selection pane="bottomLeft" activeCell="B28" sqref="B28"/>
    </sheetView>
  </sheetViews>
  <sheetFormatPr defaultColWidth="9.140625" defaultRowHeight="15"/>
  <cols>
    <col min="1" max="1" width="26.28515625" style="7" customWidth="1"/>
    <col min="2" max="2" width="9.42578125" style="7" bestFit="1" customWidth="1"/>
    <col min="3" max="8" width="9.140625" style="7"/>
    <col min="9" max="9" width="11.140625" style="7" customWidth="1"/>
    <col min="10" max="13" width="9.140625" style="7"/>
    <col min="14" max="14" width="10" style="7" bestFit="1" customWidth="1"/>
    <col min="15" max="16384" width="9.140625" style="7"/>
  </cols>
  <sheetData>
    <row r="1" spans="1:12">
      <c r="A1" s="95" t="s">
        <v>35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</row>
    <row r="2" spans="1:12" ht="15.75" thickBot="1">
      <c r="A2" s="96" t="s">
        <v>77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1:12" ht="15.75" customHeight="1" thickBot="1">
      <c r="A3" s="97" t="s">
        <v>36</v>
      </c>
      <c r="B3" s="100" t="s">
        <v>37</v>
      </c>
      <c r="C3" s="103" t="s">
        <v>38</v>
      </c>
      <c r="D3" s="104"/>
      <c r="E3" s="104"/>
      <c r="F3" s="104"/>
      <c r="G3" s="104"/>
      <c r="H3" s="104"/>
      <c r="I3" s="104"/>
      <c r="J3" s="104"/>
      <c r="K3" s="104"/>
      <c r="L3" s="105"/>
    </row>
    <row r="4" spans="1:12" ht="81" customHeight="1">
      <c r="A4" s="98"/>
      <c r="B4" s="101"/>
      <c r="C4" s="106" t="s">
        <v>70</v>
      </c>
      <c r="D4" s="109" t="s">
        <v>71</v>
      </c>
      <c r="E4" s="109" t="s">
        <v>39</v>
      </c>
      <c r="F4" s="109" t="s">
        <v>74</v>
      </c>
      <c r="G4" s="109" t="s">
        <v>40</v>
      </c>
      <c r="H4" s="109" t="s">
        <v>75</v>
      </c>
      <c r="I4" s="109" t="s">
        <v>42</v>
      </c>
      <c r="J4" s="109" t="s">
        <v>73</v>
      </c>
      <c r="K4" s="109" t="s">
        <v>72</v>
      </c>
      <c r="L4" s="109" t="s">
        <v>41</v>
      </c>
    </row>
    <row r="5" spans="1:12">
      <c r="A5" s="98"/>
      <c r="B5" s="101"/>
      <c r="C5" s="107"/>
      <c r="D5" s="110"/>
      <c r="E5" s="110"/>
      <c r="F5" s="110"/>
      <c r="G5" s="110"/>
      <c r="H5" s="110"/>
      <c r="I5" s="110"/>
      <c r="J5" s="110"/>
      <c r="K5" s="110"/>
      <c r="L5" s="110"/>
    </row>
    <row r="6" spans="1:12" ht="11.25" customHeight="1" thickBot="1">
      <c r="A6" s="98"/>
      <c r="B6" s="102"/>
      <c r="C6" s="108"/>
      <c r="D6" s="111"/>
      <c r="E6" s="111"/>
      <c r="F6" s="111"/>
      <c r="G6" s="111"/>
      <c r="H6" s="111"/>
      <c r="I6" s="111"/>
      <c r="J6" s="111"/>
      <c r="K6" s="111"/>
      <c r="L6" s="111"/>
    </row>
    <row r="7" spans="1:12" ht="15.75" thickBot="1">
      <c r="A7" s="99"/>
      <c r="B7" s="37">
        <v>1</v>
      </c>
      <c r="C7" s="38">
        <v>2</v>
      </c>
      <c r="D7" s="37">
        <v>3</v>
      </c>
      <c r="E7" s="37">
        <v>4</v>
      </c>
      <c r="F7" s="37">
        <v>5</v>
      </c>
      <c r="G7" s="37">
        <v>6</v>
      </c>
      <c r="H7" s="37">
        <v>7</v>
      </c>
      <c r="I7" s="37">
        <v>8</v>
      </c>
      <c r="J7" s="37">
        <v>9</v>
      </c>
      <c r="K7" s="39">
        <v>10</v>
      </c>
      <c r="L7" s="37">
        <v>11</v>
      </c>
    </row>
    <row r="8" spans="1:12" ht="31.5" customHeight="1" thickBot="1">
      <c r="A8" s="40" t="s">
        <v>43</v>
      </c>
      <c r="B8" s="59">
        <f>B9+B15+B21+B27+B33+B39</f>
        <v>1621044.763</v>
      </c>
      <c r="C8" s="38"/>
      <c r="D8" s="37"/>
      <c r="E8" s="37"/>
      <c r="F8" s="37"/>
      <c r="G8" s="37"/>
      <c r="H8" s="37"/>
      <c r="I8" s="37"/>
      <c r="J8" s="37"/>
      <c r="K8" s="37"/>
      <c r="L8" s="37"/>
    </row>
    <row r="9" spans="1:12" s="43" customFormat="1" ht="27" customHeight="1" thickBot="1">
      <c r="A9" s="41" t="s">
        <v>44</v>
      </c>
      <c r="B9" s="42">
        <f>D9+E9+F9+G9+H9</f>
        <v>816695.23300000001</v>
      </c>
      <c r="C9" s="42"/>
      <c r="D9" s="42">
        <f>SUM(D10:D13)</f>
        <v>121175.76800000001</v>
      </c>
      <c r="E9" s="42">
        <f>SUM(E10:E13)</f>
        <v>292382.07199999999</v>
      </c>
      <c r="F9" s="42">
        <f>SUM(F10:F13)</f>
        <v>84836.092999999993</v>
      </c>
      <c r="G9" s="42">
        <f>SUM(G10:G13)</f>
        <v>197078.80899999998</v>
      </c>
      <c r="H9" s="42">
        <f>SUM(H10:H13)</f>
        <v>121222.49099999999</v>
      </c>
      <c r="I9" s="42"/>
      <c r="J9" s="42"/>
      <c r="K9" s="42"/>
      <c r="L9" s="42"/>
    </row>
    <row r="10" spans="1:12" s="53" customFormat="1" ht="12.95" customHeight="1" thickBot="1">
      <c r="A10" s="51" t="s">
        <v>8</v>
      </c>
      <c r="B10" s="52">
        <f t="shared" ref="B10:B49" si="0">D10+E10+F10+G10+H10</f>
        <v>662638.90299999993</v>
      </c>
      <c r="C10" s="52"/>
      <c r="D10" s="52">
        <f>67397.484+11447.361+16476.032+1051.266+102.379+287.178</f>
        <v>96761.700000000012</v>
      </c>
      <c r="E10" s="52">
        <f>224961.302+2137.158</f>
        <v>227098.46</v>
      </c>
      <c r="F10" s="52">
        <f>65004.737+608.519</f>
        <v>65613.255999999994</v>
      </c>
      <c r="G10" s="52">
        <f>180944.878+2821.049</f>
        <v>183765.927</v>
      </c>
      <c r="H10" s="52">
        <f>58600.738+29599.424+758.403+440.995</f>
        <v>89399.56</v>
      </c>
      <c r="I10" s="52"/>
      <c r="J10" s="52"/>
      <c r="K10" s="52"/>
      <c r="L10" s="52"/>
    </row>
    <row r="11" spans="1:12" s="53" customFormat="1" ht="12.95" customHeight="1" thickBot="1">
      <c r="A11" s="51" t="s">
        <v>9</v>
      </c>
      <c r="B11" s="52">
        <f t="shared" si="0"/>
        <v>63568.800999999992</v>
      </c>
      <c r="C11" s="52"/>
      <c r="D11" s="52">
        <f>3722.204+2324.368+2710.5</f>
        <v>8757.0720000000001</v>
      </c>
      <c r="E11" s="52">
        <v>30404.813999999998</v>
      </c>
      <c r="F11" s="52">
        <v>8945.3289999999997</v>
      </c>
      <c r="G11" s="52">
        <v>4554.7719999999999</v>
      </c>
      <c r="H11" s="52">
        <f>5718.244+5188.57</f>
        <v>10906.813999999998</v>
      </c>
      <c r="I11" s="52"/>
      <c r="J11" s="52"/>
      <c r="K11" s="52"/>
      <c r="L11" s="52"/>
    </row>
    <row r="12" spans="1:12" s="53" customFormat="1" ht="12.95" customHeight="1" thickBot="1">
      <c r="A12" s="51" t="s">
        <v>10</v>
      </c>
      <c r="B12" s="52">
        <f t="shared" si="0"/>
        <v>78192.065000000002</v>
      </c>
      <c r="C12" s="52"/>
      <c r="D12" s="52">
        <f>4219.778+1646.313+7110.968+39.216+9.264+128.874</f>
        <v>13154.413</v>
      </c>
      <c r="E12" s="52">
        <f>31329.268+181.595</f>
        <v>31510.863000000001</v>
      </c>
      <c r="F12" s="52">
        <f>9189.173+53.047</f>
        <v>9242.2200000000012</v>
      </c>
      <c r="G12" s="52">
        <f>6991.533+69.517</f>
        <v>7061.05</v>
      </c>
      <c r="H12" s="52">
        <f>4707.919+12362.587+35.265+117.748</f>
        <v>17223.519</v>
      </c>
      <c r="I12" s="52"/>
      <c r="J12" s="52"/>
      <c r="K12" s="52"/>
      <c r="L12" s="52"/>
    </row>
    <row r="13" spans="1:12" s="53" customFormat="1" ht="12.95" customHeight="1" thickBot="1">
      <c r="A13" s="54" t="s">
        <v>76</v>
      </c>
      <c r="B13" s="52">
        <f t="shared" si="0"/>
        <v>12295.464</v>
      </c>
      <c r="C13" s="52"/>
      <c r="D13" s="52">
        <f>1582.199+245.62+674.764</f>
        <v>2502.5830000000001</v>
      </c>
      <c r="E13" s="52">
        <v>3367.9349999999999</v>
      </c>
      <c r="F13" s="52">
        <v>1035.288</v>
      </c>
      <c r="G13" s="52">
        <v>1697.06</v>
      </c>
      <c r="H13" s="52">
        <f>3386.091+306.507</f>
        <v>3692.598</v>
      </c>
      <c r="I13" s="52"/>
      <c r="J13" s="52"/>
      <c r="K13" s="52"/>
      <c r="L13" s="52"/>
    </row>
    <row r="14" spans="1:12" s="53" customFormat="1" ht="12.95" customHeight="1" thickBot="1">
      <c r="A14" s="51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</row>
    <row r="15" spans="1:12" s="57" customFormat="1" ht="27" customHeight="1" thickBot="1">
      <c r="A15" s="55" t="s">
        <v>45</v>
      </c>
      <c r="B15" s="56">
        <f t="shared" si="0"/>
        <v>140847.397</v>
      </c>
      <c r="C15" s="56"/>
      <c r="D15" s="56">
        <f>SUM(D16:D19)</f>
        <v>19276.177</v>
      </c>
      <c r="E15" s="56">
        <f>SUM(E16:E19)</f>
        <v>57788.194000000003</v>
      </c>
      <c r="F15" s="56">
        <f>SUM(F16:F19)</f>
        <v>16954.98</v>
      </c>
      <c r="G15" s="56">
        <f>SUM(G16:G19)</f>
        <v>15490.829000000002</v>
      </c>
      <c r="H15" s="56">
        <f>SUM(H16:H19)</f>
        <v>31337.217000000001</v>
      </c>
      <c r="I15" s="56"/>
      <c r="J15" s="56"/>
      <c r="K15" s="56"/>
      <c r="L15" s="56"/>
    </row>
    <row r="16" spans="1:12" s="53" customFormat="1" ht="12.95" customHeight="1" thickBot="1">
      <c r="A16" s="51" t="s">
        <v>8</v>
      </c>
      <c r="B16" s="52">
        <f t="shared" si="0"/>
        <v>92086.294999999998</v>
      </c>
      <c r="C16" s="52"/>
      <c r="D16" s="52">
        <f>7806.481+2510.748+1534.539+360.295+2659.075+241.172</f>
        <v>15112.31</v>
      </c>
      <c r="E16" s="52">
        <f>34191.55+8047.799</f>
        <v>42239.349000000002</v>
      </c>
      <c r="F16" s="52">
        <f>10040.01+2366.417</f>
        <v>12406.427</v>
      </c>
      <c r="G16" s="52">
        <f>6995.2+4830.248</f>
        <v>11825.448</v>
      </c>
      <c r="H16" s="52">
        <f>3643.303+873.585+4471.959+1513.914</f>
        <v>10502.761</v>
      </c>
      <c r="I16" s="52"/>
      <c r="J16" s="52"/>
      <c r="K16" s="52"/>
      <c r="L16" s="52"/>
    </row>
    <row r="17" spans="1:12" s="53" customFormat="1" ht="12.95" customHeight="1" thickBot="1">
      <c r="A17" s="51" t="s">
        <v>9</v>
      </c>
      <c r="B17" s="52">
        <f t="shared" si="0"/>
        <v>19916.954999999998</v>
      </c>
      <c r="C17" s="52"/>
      <c r="D17" s="52">
        <f>1404.911+554.892+139.903</f>
        <v>2099.7060000000001</v>
      </c>
      <c r="E17" s="52">
        <v>9260.5949999999993</v>
      </c>
      <c r="F17" s="52">
        <v>2724.3710000000001</v>
      </c>
      <c r="G17" s="52">
        <v>2252.7179999999998</v>
      </c>
      <c r="H17" s="52">
        <f>2451.59+1127.975</f>
        <v>3579.5650000000001</v>
      </c>
      <c r="I17" s="52"/>
      <c r="J17" s="52"/>
      <c r="K17" s="52"/>
      <c r="L17" s="52"/>
    </row>
    <row r="18" spans="1:12" s="53" customFormat="1" ht="12.95" customHeight="1" thickBot="1">
      <c r="A18" s="51" t="s">
        <v>10</v>
      </c>
      <c r="B18" s="52">
        <f t="shared" si="0"/>
        <v>21242.213</v>
      </c>
      <c r="C18" s="52"/>
      <c r="D18" s="52">
        <f>287.659+232.604+108.097</f>
        <v>628.36</v>
      </c>
      <c r="E18" s="52">
        <v>4471.4970000000003</v>
      </c>
      <c r="F18" s="52">
        <v>1274.6289999999999</v>
      </c>
      <c r="G18" s="52">
        <v>740.18700000000001</v>
      </c>
      <c r="H18" s="52">
        <f>13768.882+358.658</f>
        <v>14127.539999999999</v>
      </c>
      <c r="I18" s="52"/>
      <c r="J18" s="52"/>
      <c r="K18" s="52"/>
      <c r="L18" s="52"/>
    </row>
    <row r="19" spans="1:12" s="53" customFormat="1" ht="12.95" customHeight="1" thickBot="1">
      <c r="A19" s="54" t="s">
        <v>76</v>
      </c>
      <c r="B19" s="52">
        <f t="shared" si="0"/>
        <v>7601.9339999999993</v>
      </c>
      <c r="C19" s="52"/>
      <c r="D19" s="52">
        <f>970.299+190.338+275.164</f>
        <v>1435.8009999999999</v>
      </c>
      <c r="E19" s="52">
        <v>1816.7529999999999</v>
      </c>
      <c r="F19" s="52">
        <v>549.553</v>
      </c>
      <c r="G19" s="52">
        <v>672.476</v>
      </c>
      <c r="H19" s="52">
        <f>2995.517+131.834</f>
        <v>3127.3509999999997</v>
      </c>
      <c r="I19" s="52"/>
      <c r="J19" s="52"/>
      <c r="K19" s="52"/>
      <c r="L19" s="52"/>
    </row>
    <row r="20" spans="1:12" s="53" customFormat="1" ht="12.95" customHeight="1" thickBot="1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</row>
    <row r="21" spans="1:12" s="53" customFormat="1" ht="27" customHeight="1" thickBot="1">
      <c r="A21" s="55" t="s">
        <v>46</v>
      </c>
      <c r="B21" s="56">
        <f t="shared" si="0"/>
        <v>459868.52999999991</v>
      </c>
      <c r="C21" s="56"/>
      <c r="D21" s="56">
        <f>SUM(D22:D25)</f>
        <v>57690.749999999993</v>
      </c>
      <c r="E21" s="56">
        <f>SUM(E22:E25)</f>
        <v>234006.791</v>
      </c>
      <c r="F21" s="56">
        <f>SUM(F22:F25)</f>
        <v>68875.731999999989</v>
      </c>
      <c r="G21" s="56">
        <f>SUM(G22:G25)</f>
        <v>31876.534</v>
      </c>
      <c r="H21" s="56">
        <f>SUM(H22:H25)</f>
        <v>67418.722999999998</v>
      </c>
      <c r="I21" s="52"/>
      <c r="J21" s="52"/>
      <c r="K21" s="52"/>
      <c r="L21" s="52"/>
    </row>
    <row r="22" spans="1:12" s="53" customFormat="1" ht="12.95" customHeight="1" thickBot="1">
      <c r="A22" s="51" t="s">
        <v>8</v>
      </c>
      <c r="B22" s="52">
        <f t="shared" si="0"/>
        <v>364538.82099999994</v>
      </c>
      <c r="C22" s="52"/>
      <c r="D22" s="52">
        <f>20372.061+13812.519+11441.518</f>
        <v>45626.097999999998</v>
      </c>
      <c r="E22" s="52">
        <v>201926.12700000001</v>
      </c>
      <c r="F22" s="52">
        <v>59433.195</v>
      </c>
      <c r="G22" s="52">
        <v>24866.6</v>
      </c>
      <c r="H22" s="52">
        <f>11684.613+21002.188</f>
        <v>32686.800999999999</v>
      </c>
      <c r="I22" s="52"/>
      <c r="J22" s="52"/>
      <c r="K22" s="52"/>
      <c r="L22" s="52"/>
    </row>
    <row r="23" spans="1:12" s="53" customFormat="1" ht="12.95" customHeight="1" thickBot="1">
      <c r="A23" s="51" t="s">
        <v>9</v>
      </c>
      <c r="B23" s="52">
        <f t="shared" si="0"/>
        <v>31279.859999999997</v>
      </c>
      <c r="C23" s="52"/>
      <c r="D23" s="52">
        <f>799.823+896.083+1514.457</f>
        <v>3210.3630000000003</v>
      </c>
      <c r="E23" s="52">
        <v>13364.9</v>
      </c>
      <c r="F23" s="52">
        <v>3940.9050000000002</v>
      </c>
      <c r="G23" s="52">
        <v>3502.4050000000002</v>
      </c>
      <c r="H23" s="52">
        <f>39.076+7222.211</f>
        <v>7261.2870000000003</v>
      </c>
      <c r="I23" s="52"/>
      <c r="J23" s="52"/>
      <c r="K23" s="52"/>
      <c r="L23" s="52"/>
    </row>
    <row r="24" spans="1:12" s="53" customFormat="1" ht="12.95" customHeight="1" thickBot="1">
      <c r="A24" s="51" t="s">
        <v>10</v>
      </c>
      <c r="B24" s="52">
        <f t="shared" si="0"/>
        <v>51489.902000000002</v>
      </c>
      <c r="C24" s="52"/>
      <c r="D24" s="52">
        <f>572.221+1082.898+5050.042</f>
        <v>6705.1610000000001</v>
      </c>
      <c r="E24" s="52">
        <v>15882.723</v>
      </c>
      <c r="F24" s="52">
        <v>4642.7579999999998</v>
      </c>
      <c r="G24" s="52">
        <v>1525.4349999999999</v>
      </c>
      <c r="H24" s="52">
        <f>13966.635+8767.19</f>
        <v>22733.825000000001</v>
      </c>
      <c r="I24" s="52"/>
      <c r="J24" s="52"/>
      <c r="K24" s="52"/>
      <c r="L24" s="52"/>
    </row>
    <row r="25" spans="1:12" s="53" customFormat="1" ht="12.95" customHeight="1" thickBot="1">
      <c r="A25" s="54" t="s">
        <v>76</v>
      </c>
      <c r="B25" s="52">
        <f t="shared" si="0"/>
        <v>12559.947</v>
      </c>
      <c r="C25" s="52"/>
      <c r="D25" s="52">
        <f>1117.91+590.054+441.164</f>
        <v>2149.1279999999997</v>
      </c>
      <c r="E25" s="52">
        <v>2833.0410000000002</v>
      </c>
      <c r="F25" s="52">
        <v>858.87400000000002</v>
      </c>
      <c r="G25" s="52">
        <v>1982.0940000000001</v>
      </c>
      <c r="H25" s="52">
        <f>1489.1+3247.71</f>
        <v>4736.8099999999995</v>
      </c>
      <c r="I25" s="52"/>
      <c r="J25" s="52"/>
      <c r="K25" s="52"/>
      <c r="L25" s="52"/>
    </row>
    <row r="26" spans="1:12" s="53" customFormat="1" ht="12.95" customHeight="1" thickBot="1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</row>
    <row r="27" spans="1:12" s="53" customFormat="1" ht="12.95" customHeight="1" thickBot="1">
      <c r="A27" s="55" t="s">
        <v>47</v>
      </c>
      <c r="B27" s="56">
        <f t="shared" si="0"/>
        <v>163983.24200000003</v>
      </c>
      <c r="C27" s="56"/>
      <c r="D27" s="56">
        <f>SUM(D28:D31)</f>
        <v>17170.035</v>
      </c>
      <c r="E27" s="56">
        <f>SUM(E28:E31)</f>
        <v>46904.957999999999</v>
      </c>
      <c r="F27" s="56">
        <f>SUM(F28:F31)</f>
        <v>13514.226999999999</v>
      </c>
      <c r="G27" s="56">
        <f>SUM(G28:G31)</f>
        <v>15630.109</v>
      </c>
      <c r="H27" s="56">
        <f>SUM(H28:H31)</f>
        <v>70763.913000000015</v>
      </c>
      <c r="I27" s="52"/>
      <c r="J27" s="52"/>
      <c r="K27" s="52"/>
      <c r="L27" s="52"/>
    </row>
    <row r="28" spans="1:12" s="53" customFormat="1" ht="12.95" customHeight="1" thickBot="1">
      <c r="A28" s="51" t="s">
        <v>8</v>
      </c>
      <c r="B28" s="52">
        <f t="shared" si="0"/>
        <v>121992.701</v>
      </c>
      <c r="C28" s="52"/>
      <c r="D28" s="52">
        <f>5483.548+2552.562+1245.055+671.939+920.228+445.555</f>
        <v>11318.886999999999</v>
      </c>
      <c r="E28" s="52">
        <f>18266.06+9298.137</f>
        <v>27564.197</v>
      </c>
      <c r="F28" s="52">
        <f>5190.875+2629.138</f>
        <v>7820.0129999999999</v>
      </c>
      <c r="G28" s="52">
        <f>7928.511+1128.099</f>
        <v>9056.61</v>
      </c>
      <c r="H28" s="52">
        <f>2694.173+1404.43+52008.49+10125.901</f>
        <v>66232.994000000006</v>
      </c>
      <c r="I28" s="52"/>
      <c r="J28" s="52"/>
      <c r="K28" s="52"/>
      <c r="L28" s="52"/>
    </row>
    <row r="29" spans="1:12" s="53" customFormat="1" ht="12.95" customHeight="1" thickBot="1">
      <c r="A29" s="51" t="s">
        <v>9</v>
      </c>
      <c r="B29" s="52">
        <f t="shared" si="0"/>
        <v>16214.972</v>
      </c>
      <c r="C29" s="52"/>
      <c r="D29" s="52">
        <f>1799.513+477.802+98.135</f>
        <v>2375.4500000000003</v>
      </c>
      <c r="E29" s="52">
        <v>7261.4979999999996</v>
      </c>
      <c r="F29" s="52">
        <v>2144.2820000000002</v>
      </c>
      <c r="G29" s="52">
        <v>3997.6350000000002</v>
      </c>
      <c r="H29" s="52">
        <f>58.264+377.843</f>
        <v>436.10700000000003</v>
      </c>
      <c r="I29" s="52"/>
      <c r="J29" s="52"/>
      <c r="K29" s="52"/>
      <c r="L29" s="52"/>
    </row>
    <row r="30" spans="1:12" s="53" customFormat="1" ht="12.95" customHeight="1" thickBot="1">
      <c r="A30" s="51" t="s">
        <v>10</v>
      </c>
      <c r="B30" s="52">
        <f t="shared" si="0"/>
        <v>14936.492000000002</v>
      </c>
      <c r="C30" s="52"/>
      <c r="D30" s="52">
        <f>600.209+556.708+160.488</f>
        <v>1317.405</v>
      </c>
      <c r="E30" s="52">
        <v>9236.9590000000007</v>
      </c>
      <c r="F30" s="52">
        <v>2687.8829999999998</v>
      </c>
      <c r="G30" s="52">
        <v>1354.6</v>
      </c>
      <c r="H30" s="52">
        <f>105.224+234.421</f>
        <v>339.64499999999998</v>
      </c>
      <c r="I30" s="52"/>
      <c r="J30" s="52"/>
      <c r="K30" s="52"/>
      <c r="L30" s="52"/>
    </row>
    <row r="31" spans="1:12" s="53" customFormat="1" ht="12.95" customHeight="1" thickBot="1">
      <c r="A31" s="54" t="s">
        <v>76</v>
      </c>
      <c r="B31" s="52">
        <f t="shared" si="0"/>
        <v>10839.077000000001</v>
      </c>
      <c r="C31" s="52"/>
      <c r="D31" s="52">
        <f>1827.774+214.245+116.274</f>
        <v>2158.2929999999997</v>
      </c>
      <c r="E31" s="52">
        <v>2842.3040000000001</v>
      </c>
      <c r="F31" s="52">
        <v>862.04899999999998</v>
      </c>
      <c r="G31" s="52">
        <v>1221.2639999999999</v>
      </c>
      <c r="H31" s="52">
        <f>3604.579+150.588</f>
        <v>3755.1670000000004</v>
      </c>
      <c r="I31" s="52"/>
      <c r="J31" s="52"/>
      <c r="K31" s="52"/>
      <c r="L31" s="52"/>
    </row>
    <row r="32" spans="1:12" s="53" customFormat="1" ht="12.95" customHeight="1" thickBot="1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</row>
    <row r="33" spans="1:12" s="53" customFormat="1" ht="39" customHeight="1" thickBot="1">
      <c r="A33" s="55" t="s">
        <v>48</v>
      </c>
      <c r="B33" s="56">
        <f t="shared" si="0"/>
        <v>29254.546999999999</v>
      </c>
      <c r="C33" s="56"/>
      <c r="D33" s="56">
        <f>SUM(D34:D37)</f>
        <v>3433.346</v>
      </c>
      <c r="E33" s="56">
        <f>SUM(E34:E37)</f>
        <v>15820.928999999998</v>
      </c>
      <c r="F33" s="56">
        <f>SUM(F34:F37)</f>
        <v>4675.9800000000005</v>
      </c>
      <c r="G33" s="56">
        <f>SUM(G34:G37)</f>
        <v>4123.0120000000006</v>
      </c>
      <c r="H33" s="56">
        <f>SUM(H34:H37)</f>
        <v>1201.28</v>
      </c>
      <c r="I33" s="52"/>
      <c r="J33" s="52"/>
      <c r="K33" s="52"/>
      <c r="L33" s="52"/>
    </row>
    <row r="34" spans="1:12" s="53" customFormat="1" ht="12.95" customHeight="1" thickBot="1">
      <c r="A34" s="51" t="s">
        <v>8</v>
      </c>
      <c r="B34" s="52">
        <f t="shared" si="0"/>
        <v>0</v>
      </c>
      <c r="C34" s="52"/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/>
      <c r="J34" s="52"/>
      <c r="K34" s="52"/>
      <c r="L34" s="52"/>
    </row>
    <row r="35" spans="1:12" s="53" customFormat="1" ht="12.95" customHeight="1" thickBot="1">
      <c r="A35" s="51" t="s">
        <v>9</v>
      </c>
      <c r="B35" s="52">
        <f t="shared" si="0"/>
        <v>13698.276000000002</v>
      </c>
      <c r="C35" s="52"/>
      <c r="D35" s="52">
        <f>1039.991+646.104+144.386</f>
        <v>1830.481</v>
      </c>
      <c r="E35" s="52">
        <v>7300.0569999999998</v>
      </c>
      <c r="F35" s="52">
        <v>2150.915</v>
      </c>
      <c r="G35" s="52">
        <v>2076.1280000000002</v>
      </c>
      <c r="H35" s="52">
        <f>55.933+284.762</f>
        <v>340.69499999999999</v>
      </c>
      <c r="I35" s="52"/>
      <c r="J35" s="52"/>
      <c r="K35" s="52"/>
      <c r="L35" s="52"/>
    </row>
    <row r="36" spans="1:12" s="53" customFormat="1" ht="12.95" customHeight="1" thickBot="1">
      <c r="A36" s="51" t="s">
        <v>10</v>
      </c>
      <c r="B36" s="52">
        <f t="shared" si="0"/>
        <v>14642.402</v>
      </c>
      <c r="C36" s="52"/>
      <c r="D36" s="52">
        <f>722.129+501.212+198.451</f>
        <v>1421.7919999999999</v>
      </c>
      <c r="E36" s="52">
        <v>8433.99</v>
      </c>
      <c r="F36" s="52">
        <v>2498.739</v>
      </c>
      <c r="G36" s="52">
        <v>1823.075</v>
      </c>
      <c r="H36" s="52">
        <f>138.613+326.193</f>
        <v>464.80599999999998</v>
      </c>
      <c r="I36" s="52"/>
      <c r="J36" s="52"/>
      <c r="K36" s="52"/>
      <c r="L36" s="52"/>
    </row>
    <row r="37" spans="1:12" s="53" customFormat="1" ht="12.95" customHeight="1" thickBot="1">
      <c r="A37" s="54" t="s">
        <v>76</v>
      </c>
      <c r="B37" s="52">
        <f t="shared" si="0"/>
        <v>913.86900000000003</v>
      </c>
      <c r="C37" s="52"/>
      <c r="D37" s="52">
        <f>149.356+6.298+25.419</f>
        <v>181.07300000000001</v>
      </c>
      <c r="E37" s="52">
        <v>86.882000000000005</v>
      </c>
      <c r="F37" s="52">
        <v>26.326000000000001</v>
      </c>
      <c r="G37" s="52">
        <v>223.809</v>
      </c>
      <c r="H37" s="52">
        <f>100.351+295.428</f>
        <v>395.779</v>
      </c>
      <c r="I37" s="52"/>
      <c r="J37" s="52"/>
      <c r="K37" s="52"/>
      <c r="L37" s="52"/>
    </row>
    <row r="38" spans="1:12" s="53" customFormat="1" ht="12.95" customHeight="1" thickBot="1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</row>
    <row r="39" spans="1:12" s="53" customFormat="1" ht="26.1" customHeight="1" thickBot="1">
      <c r="A39" s="55" t="s">
        <v>49</v>
      </c>
      <c r="B39" s="56">
        <f t="shared" si="0"/>
        <v>10395.814</v>
      </c>
      <c r="C39" s="56"/>
      <c r="D39" s="56">
        <f>SUM(D40:D43)</f>
        <v>1555.9810000000002</v>
      </c>
      <c r="E39" s="56">
        <f>SUM(E40:E43)</f>
        <v>5727.9910000000009</v>
      </c>
      <c r="F39" s="56">
        <f>SUM(F40:F43)</f>
        <v>1685.6590000000001</v>
      </c>
      <c r="G39" s="56">
        <f>SUM(G40:G43)</f>
        <v>430.54200000000003</v>
      </c>
      <c r="H39" s="56">
        <f>SUM(H40:H43)</f>
        <v>995.64099999999996</v>
      </c>
      <c r="I39" s="52"/>
      <c r="J39" s="52"/>
      <c r="K39" s="52"/>
      <c r="L39" s="52"/>
    </row>
    <row r="40" spans="1:12" s="53" customFormat="1" ht="12.95" customHeight="1" thickBot="1">
      <c r="A40" s="51" t="s">
        <v>8</v>
      </c>
      <c r="B40" s="52">
        <f t="shared" si="0"/>
        <v>0</v>
      </c>
      <c r="C40" s="52"/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/>
      <c r="J40" s="52"/>
      <c r="K40" s="52"/>
      <c r="L40" s="52"/>
    </row>
    <row r="41" spans="1:12" s="53" customFormat="1" ht="12.95" customHeight="1" thickBot="1">
      <c r="A41" s="51" t="s">
        <v>9</v>
      </c>
      <c r="B41" s="52">
        <f t="shared" si="0"/>
        <v>8451.0710000000017</v>
      </c>
      <c r="C41" s="52"/>
      <c r="D41" s="52">
        <f>444.435+284.996+312.08+171.333+94.188+48.795</f>
        <v>1355.8270000000002</v>
      </c>
      <c r="E41" s="52">
        <f>3268.802+1878.897</f>
        <v>5147.6990000000005</v>
      </c>
      <c r="F41" s="52">
        <f>962.666+547.977</f>
        <v>1510.643</v>
      </c>
      <c r="G41" s="52">
        <f>124.936+64.026</f>
        <v>188.96199999999999</v>
      </c>
      <c r="H41" s="52">
        <f>33.809+35.189+120.741+58.201</f>
        <v>247.93999999999997</v>
      </c>
      <c r="I41" s="52"/>
      <c r="J41" s="52"/>
      <c r="K41" s="52"/>
      <c r="L41" s="52"/>
    </row>
    <row r="42" spans="1:12" s="53" customFormat="1" ht="12.95" customHeight="1" thickBot="1">
      <c r="A42" s="51" t="s">
        <v>10</v>
      </c>
      <c r="B42" s="52">
        <f t="shared" si="0"/>
        <v>0</v>
      </c>
      <c r="C42" s="52"/>
      <c r="D42" s="52">
        <v>0</v>
      </c>
      <c r="E42" s="52">
        <v>0</v>
      </c>
      <c r="F42" s="52">
        <v>0</v>
      </c>
      <c r="G42" s="52">
        <v>0</v>
      </c>
      <c r="H42" s="52">
        <v>0</v>
      </c>
      <c r="I42" s="52"/>
      <c r="J42" s="52"/>
      <c r="K42" s="52"/>
      <c r="L42" s="52"/>
    </row>
    <row r="43" spans="1:12" s="53" customFormat="1" ht="12.95" customHeight="1" thickBot="1">
      <c r="A43" s="54" t="s">
        <v>76</v>
      </c>
      <c r="B43" s="52">
        <f t="shared" si="0"/>
        <v>1944.7429999999999</v>
      </c>
      <c r="C43" s="52"/>
      <c r="D43" s="52">
        <f>148.683+26.847+24.624</f>
        <v>200.154</v>
      </c>
      <c r="E43" s="52">
        <v>580.29200000000003</v>
      </c>
      <c r="F43" s="52">
        <v>175.01599999999999</v>
      </c>
      <c r="G43" s="52">
        <v>241.58</v>
      </c>
      <c r="H43" s="52">
        <f>437.185+310.516</f>
        <v>747.70100000000002</v>
      </c>
      <c r="I43" s="52"/>
      <c r="J43" s="52"/>
      <c r="K43" s="52"/>
      <c r="L43" s="52"/>
    </row>
    <row r="44" spans="1:12" s="53" customFormat="1" ht="12.95" customHeight="1" thickBot="1">
      <c r="A44" s="58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</row>
    <row r="45" spans="1:12" s="53" customFormat="1" ht="26.1" customHeight="1" thickBot="1">
      <c r="A45" s="55" t="s">
        <v>50</v>
      </c>
      <c r="B45" s="56">
        <f>D45+E45+F45+G45+H45</f>
        <v>1968660.9270000001</v>
      </c>
      <c r="C45" s="56"/>
      <c r="D45" s="56">
        <f>SUM(D46:D49)</f>
        <v>288037.83200000005</v>
      </c>
      <c r="E45" s="56">
        <f>SUM(E46:E49)</f>
        <v>777436.01500000001</v>
      </c>
      <c r="F45" s="56">
        <f>SUM(F46:F49)</f>
        <v>226747.15399999998</v>
      </c>
      <c r="G45" s="56">
        <f>SUM(G46:G49)</f>
        <v>321011.32300000003</v>
      </c>
      <c r="H45" s="56">
        <f>SUM(H46:H49)</f>
        <v>355428.603</v>
      </c>
      <c r="I45" s="56"/>
      <c r="J45" s="56"/>
      <c r="K45" s="56"/>
      <c r="L45" s="56"/>
    </row>
    <row r="46" spans="1:12" s="53" customFormat="1" ht="12.95" customHeight="1" thickBot="1">
      <c r="A46" s="51" t="s">
        <v>8</v>
      </c>
      <c r="B46" s="52">
        <f t="shared" si="0"/>
        <v>1512426.7830000001</v>
      </c>
      <c r="C46" s="52"/>
      <c r="D46" s="52">
        <f>152673.575+34769.257+37364.869</f>
        <v>224807.701</v>
      </c>
      <c r="E46" s="52">
        <v>587820.81499999994</v>
      </c>
      <c r="F46" s="52">
        <v>170954.89300000001</v>
      </c>
      <c r="G46" s="52">
        <v>278093.44199999998</v>
      </c>
      <c r="H46" s="52">
        <f>101716.82+149033.112</f>
        <v>250749.932</v>
      </c>
      <c r="I46" s="52"/>
      <c r="J46" s="52"/>
      <c r="K46" s="52"/>
      <c r="L46" s="52"/>
    </row>
    <row r="47" spans="1:12" s="53" customFormat="1" ht="12.95" customHeight="1" thickBot="1">
      <c r="A47" s="51" t="s">
        <v>9</v>
      </c>
      <c r="B47" s="52">
        <f t="shared" si="0"/>
        <v>165434.13400000002</v>
      </c>
      <c r="C47" s="52"/>
      <c r="D47" s="52">
        <f>10466.351+5747.207+5001.422</f>
        <v>21214.98</v>
      </c>
      <c r="E47" s="52">
        <v>78909.981</v>
      </c>
      <c r="F47" s="52">
        <v>23236.062999999998</v>
      </c>
      <c r="G47" s="52">
        <v>18160.192999999999</v>
      </c>
      <c r="H47" s="52">
        <f>8532.552+15380.365</f>
        <v>23912.917000000001</v>
      </c>
      <c r="I47" s="52"/>
      <c r="J47" s="52"/>
      <c r="K47" s="52"/>
      <c r="L47" s="52"/>
    </row>
    <row r="48" spans="1:12" s="53" customFormat="1" ht="12.95" customHeight="1" thickBot="1">
      <c r="A48" s="51" t="s">
        <v>10</v>
      </c>
      <c r="B48" s="52">
        <f t="shared" si="0"/>
        <v>225435.01199999999</v>
      </c>
      <c r="C48" s="52"/>
      <c r="D48" s="72">
        <f>11964.544+4954.125+13359.217</f>
        <v>30277.886000000002</v>
      </c>
      <c r="E48" s="72">
        <v>94754.838000000003</v>
      </c>
      <c r="F48" s="72">
        <v>27718.52</v>
      </c>
      <c r="G48" s="72">
        <v>16036.117</v>
      </c>
      <c r="H48" s="72">
        <f>33134.865+23512.786</f>
        <v>56647.650999999998</v>
      </c>
      <c r="I48" s="52"/>
      <c r="J48" s="52"/>
      <c r="K48" s="52"/>
      <c r="L48" s="52"/>
    </row>
    <row r="49" spans="1:12" s="53" customFormat="1" ht="12.95" customHeight="1" thickBot="1">
      <c r="A49" s="54" t="s">
        <v>76</v>
      </c>
      <c r="B49" s="52">
        <f t="shared" si="0"/>
        <v>65364.998000000007</v>
      </c>
      <c r="C49" s="52"/>
      <c r="D49" s="52">
        <f>8169.479+1541.294+2026.492</f>
        <v>11737.265000000001</v>
      </c>
      <c r="E49" s="52">
        <v>15950.380999999999</v>
      </c>
      <c r="F49" s="52">
        <v>4837.6779999999999</v>
      </c>
      <c r="G49" s="52">
        <v>8721.5709999999999</v>
      </c>
      <c r="H49" s="52">
        <f>16398.324+7719.779</f>
        <v>24118.103000000003</v>
      </c>
      <c r="I49" s="52"/>
      <c r="J49" s="52"/>
      <c r="K49" s="52"/>
      <c r="L49" s="52"/>
    </row>
    <row r="50" spans="1:12" s="53" customFormat="1" ht="12.95" customHeight="1" thickBot="1">
      <c r="A50" s="58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</row>
    <row r="51" spans="1:12" s="53" customFormat="1" ht="12.95" customHeight="1" thickBot="1">
      <c r="A51" s="55" t="s">
        <v>51</v>
      </c>
      <c r="B51" s="56">
        <f>SUM(C51:L51)</f>
        <v>73660</v>
      </c>
      <c r="C51" s="56"/>
      <c r="D51" s="56"/>
      <c r="E51" s="56"/>
      <c r="F51" s="56"/>
      <c r="G51" s="56"/>
      <c r="H51" s="56"/>
      <c r="I51" s="56">
        <f>SUM(I52:I55)</f>
        <v>0</v>
      </c>
      <c r="J51" s="56">
        <f>SUM(J52:J55)</f>
        <v>0</v>
      </c>
      <c r="K51" s="56">
        <f>SUM(K52:K55)</f>
        <v>0</v>
      </c>
      <c r="L51" s="56">
        <f>SUM(L52:L55)</f>
        <v>73660</v>
      </c>
    </row>
    <row r="52" spans="1:12" s="53" customFormat="1" ht="12.95" customHeight="1" thickBot="1">
      <c r="A52" s="51" t="s">
        <v>8</v>
      </c>
      <c r="B52" s="52">
        <f t="shared" ref="B52:B55" si="1">SUM(C52:L52)</f>
        <v>61761</v>
      </c>
      <c r="C52" s="52"/>
      <c r="D52" s="52"/>
      <c r="E52" s="52"/>
      <c r="F52" s="52"/>
      <c r="G52" s="52"/>
      <c r="H52" s="52"/>
      <c r="I52" s="52"/>
      <c r="J52" s="52"/>
      <c r="K52" s="52"/>
      <c r="L52" s="52">
        <v>61761</v>
      </c>
    </row>
    <row r="53" spans="1:12" s="53" customFormat="1" ht="12.95" customHeight="1" thickBot="1">
      <c r="A53" s="51" t="s">
        <v>9</v>
      </c>
      <c r="B53" s="52">
        <f t="shared" si="1"/>
        <v>3239</v>
      </c>
      <c r="C53" s="52"/>
      <c r="D53" s="52"/>
      <c r="E53" s="52"/>
      <c r="F53" s="52"/>
      <c r="G53" s="52"/>
      <c r="H53" s="52"/>
      <c r="I53" s="52"/>
      <c r="J53" s="52"/>
      <c r="K53" s="52"/>
      <c r="L53" s="52">
        <v>3239</v>
      </c>
    </row>
    <row r="54" spans="1:12" s="53" customFormat="1" ht="12.95" customHeight="1" thickBot="1">
      <c r="A54" s="51" t="s">
        <v>10</v>
      </c>
      <c r="B54" s="52">
        <f t="shared" si="1"/>
        <v>6505</v>
      </c>
      <c r="C54" s="52"/>
      <c r="D54" s="52"/>
      <c r="E54" s="52"/>
      <c r="F54" s="52"/>
      <c r="G54" s="52"/>
      <c r="H54" s="52"/>
      <c r="I54" s="52"/>
      <c r="J54" s="52"/>
      <c r="K54" s="52"/>
      <c r="L54" s="52">
        <v>6505</v>
      </c>
    </row>
    <row r="55" spans="1:12" s="53" customFormat="1" ht="12.95" customHeight="1" thickBot="1">
      <c r="A55" s="54" t="s">
        <v>76</v>
      </c>
      <c r="B55" s="52">
        <f t="shared" si="1"/>
        <v>2155</v>
      </c>
      <c r="C55" s="52"/>
      <c r="D55" s="52"/>
      <c r="E55" s="52"/>
      <c r="F55" s="52"/>
      <c r="G55" s="52"/>
      <c r="H55" s="52"/>
      <c r="I55" s="52"/>
      <c r="J55" s="52"/>
      <c r="K55" s="52"/>
      <c r="L55" s="52">
        <v>2155</v>
      </c>
    </row>
    <row r="56" spans="1:12" ht="12.95" customHeight="1" thickBot="1">
      <c r="A56" s="41" t="s">
        <v>52</v>
      </c>
      <c r="B56" s="42">
        <f t="shared" ref="B56:L56" si="2">B45+B51</f>
        <v>2042320.9270000001</v>
      </c>
      <c r="C56" s="42">
        <f t="shared" si="2"/>
        <v>0</v>
      </c>
      <c r="D56" s="42">
        <f t="shared" si="2"/>
        <v>288037.83200000005</v>
      </c>
      <c r="E56" s="42">
        <f t="shared" si="2"/>
        <v>777436.01500000001</v>
      </c>
      <c r="F56" s="42">
        <f t="shared" si="2"/>
        <v>226747.15399999998</v>
      </c>
      <c r="G56" s="42">
        <f t="shared" si="2"/>
        <v>321011.32300000003</v>
      </c>
      <c r="H56" s="42">
        <f t="shared" si="2"/>
        <v>355428.603</v>
      </c>
      <c r="I56" s="42">
        <f t="shared" si="2"/>
        <v>0</v>
      </c>
      <c r="J56" s="42">
        <f t="shared" si="2"/>
        <v>0</v>
      </c>
      <c r="K56" s="42">
        <f t="shared" si="2"/>
        <v>0</v>
      </c>
      <c r="L56" s="42">
        <f t="shared" si="2"/>
        <v>73660</v>
      </c>
    </row>
    <row r="57" spans="1:12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2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2">
      <c r="A59" s="45"/>
    </row>
  </sheetData>
  <mergeCells count="15">
    <mergeCell ref="A1:L1"/>
    <mergeCell ref="A2:L2"/>
    <mergeCell ref="A3:A7"/>
    <mergeCell ref="B3:B6"/>
    <mergeCell ref="C3:L3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59"/>
  <sheetViews>
    <sheetView topLeftCell="A34" workbookViewId="0">
      <selection activeCell="B45" sqref="B45"/>
    </sheetView>
  </sheetViews>
  <sheetFormatPr defaultColWidth="9.140625" defaultRowHeight="15"/>
  <cols>
    <col min="1" max="1" width="26.28515625" style="7" customWidth="1"/>
    <col min="2" max="2" width="9.42578125" style="7" bestFit="1" customWidth="1"/>
    <col min="3" max="8" width="9.140625" style="7"/>
    <col min="9" max="9" width="11.140625" style="7" customWidth="1"/>
    <col min="10" max="16384" width="9.140625" style="7"/>
  </cols>
  <sheetData>
    <row r="1" spans="1:12">
      <c r="A1" s="95" t="s">
        <v>35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</row>
    <row r="2" spans="1:12" ht="15.75" thickBot="1">
      <c r="A2" s="96" t="s">
        <v>78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1:12" ht="15.75" customHeight="1" thickBot="1">
      <c r="A3" s="97" t="s">
        <v>36</v>
      </c>
      <c r="B3" s="100" t="s">
        <v>37</v>
      </c>
      <c r="C3" s="103" t="s">
        <v>38</v>
      </c>
      <c r="D3" s="104"/>
      <c r="E3" s="104"/>
      <c r="F3" s="104"/>
      <c r="G3" s="104"/>
      <c r="H3" s="104"/>
      <c r="I3" s="104"/>
      <c r="J3" s="104"/>
      <c r="K3" s="104"/>
      <c r="L3" s="105"/>
    </row>
    <row r="4" spans="1:12" ht="81" customHeight="1">
      <c r="A4" s="98"/>
      <c r="B4" s="101"/>
      <c r="C4" s="106" t="s">
        <v>70</v>
      </c>
      <c r="D4" s="109" t="s">
        <v>71</v>
      </c>
      <c r="E4" s="109" t="s">
        <v>39</v>
      </c>
      <c r="F4" s="109" t="s">
        <v>74</v>
      </c>
      <c r="G4" s="109" t="s">
        <v>40</v>
      </c>
      <c r="H4" s="109" t="s">
        <v>75</v>
      </c>
      <c r="I4" s="109" t="s">
        <v>42</v>
      </c>
      <c r="J4" s="109" t="s">
        <v>73</v>
      </c>
      <c r="K4" s="109" t="s">
        <v>72</v>
      </c>
      <c r="L4" s="109" t="s">
        <v>41</v>
      </c>
    </row>
    <row r="5" spans="1:12">
      <c r="A5" s="98"/>
      <c r="B5" s="101"/>
      <c r="C5" s="107"/>
      <c r="D5" s="110"/>
      <c r="E5" s="110"/>
      <c r="F5" s="110"/>
      <c r="G5" s="110"/>
      <c r="H5" s="110"/>
      <c r="I5" s="110"/>
      <c r="J5" s="110"/>
      <c r="K5" s="110"/>
      <c r="L5" s="110"/>
    </row>
    <row r="6" spans="1:12" ht="11.25" customHeight="1" thickBot="1">
      <c r="A6" s="98"/>
      <c r="B6" s="102"/>
      <c r="C6" s="108"/>
      <c r="D6" s="111"/>
      <c r="E6" s="111"/>
      <c r="F6" s="111"/>
      <c r="G6" s="111"/>
      <c r="H6" s="111"/>
      <c r="I6" s="111"/>
      <c r="J6" s="111"/>
      <c r="K6" s="111"/>
      <c r="L6" s="111"/>
    </row>
    <row r="7" spans="1:12" ht="15.75" thickBot="1">
      <c r="A7" s="99"/>
      <c r="B7" s="37">
        <v>1</v>
      </c>
      <c r="C7" s="38">
        <v>2</v>
      </c>
      <c r="D7" s="37">
        <v>3</v>
      </c>
      <c r="E7" s="37">
        <v>4</v>
      </c>
      <c r="F7" s="37">
        <v>5</v>
      </c>
      <c r="G7" s="37">
        <v>6</v>
      </c>
      <c r="H7" s="37">
        <v>7</v>
      </c>
      <c r="I7" s="37">
        <v>8</v>
      </c>
      <c r="J7" s="37">
        <v>9</v>
      </c>
      <c r="K7" s="39">
        <v>10</v>
      </c>
      <c r="L7" s="37">
        <v>11</v>
      </c>
    </row>
    <row r="8" spans="1:12" ht="27" customHeight="1" thickBot="1">
      <c r="A8" s="40" t="s">
        <v>43</v>
      </c>
      <c r="B8" s="59"/>
      <c r="C8" s="38"/>
      <c r="D8" s="37"/>
      <c r="E8" s="37"/>
      <c r="F8" s="37"/>
      <c r="G8" s="37"/>
      <c r="H8" s="37"/>
      <c r="I8" s="37"/>
      <c r="J8" s="37"/>
      <c r="K8" s="37"/>
      <c r="L8" s="37"/>
    </row>
    <row r="9" spans="1:12" s="57" customFormat="1" ht="27" customHeight="1" thickBot="1">
      <c r="A9" s="55" t="s">
        <v>44</v>
      </c>
      <c r="B9" s="56">
        <f>D9+E9+F9+G9+H9</f>
        <v>819838</v>
      </c>
      <c r="C9" s="56"/>
      <c r="D9" s="56">
        <f>SUM(D10:D13)</f>
        <v>115338</v>
      </c>
      <c r="E9" s="56">
        <f>SUM(E10:E13)</f>
        <v>294229</v>
      </c>
      <c r="F9" s="56">
        <f>SUM(F10:F13)</f>
        <v>83943</v>
      </c>
      <c r="G9" s="56">
        <f>SUM(G10:G13)</f>
        <v>217746</v>
      </c>
      <c r="H9" s="56">
        <f>SUM(H10:H13)</f>
        <v>108582</v>
      </c>
      <c r="I9" s="56"/>
      <c r="J9" s="56"/>
      <c r="K9" s="56"/>
      <c r="L9" s="56"/>
    </row>
    <row r="10" spans="1:12" s="53" customFormat="1" ht="12.95" customHeight="1" thickBot="1">
      <c r="A10" s="51" t="s">
        <v>8</v>
      </c>
      <c r="B10" s="52">
        <f t="shared" ref="B10:B49" si="0">D10+E10+F10+G10+H10</f>
        <v>665778</v>
      </c>
      <c r="C10" s="52"/>
      <c r="D10" s="52">
        <f>60866+1908+404+8642+20143+903+14+4+78+383</f>
        <v>93345</v>
      </c>
      <c r="E10" s="52">
        <f>228711+2079</f>
        <v>230790</v>
      </c>
      <c r="F10" s="52">
        <f>65121+592</f>
        <v>65713</v>
      </c>
      <c r="G10" s="52">
        <f>196032+3091</f>
        <v>199123</v>
      </c>
      <c r="H10" s="52">
        <f>36564+39435+147+661</f>
        <v>76807</v>
      </c>
      <c r="I10" s="52"/>
      <c r="J10" s="52"/>
      <c r="K10" s="52"/>
      <c r="L10" s="52"/>
    </row>
    <row r="11" spans="1:12" s="53" customFormat="1" ht="12.95" customHeight="1" thickBot="1">
      <c r="A11" s="51" t="s">
        <v>9</v>
      </c>
      <c r="B11" s="52">
        <f t="shared" si="0"/>
        <v>58925</v>
      </c>
      <c r="C11" s="52"/>
      <c r="D11" s="52">
        <f>4284.5+338.5+74+1934+1658</f>
        <v>8289</v>
      </c>
      <c r="E11" s="52">
        <v>26078</v>
      </c>
      <c r="F11" s="52">
        <v>7470</v>
      </c>
      <c r="G11" s="52">
        <v>7713</v>
      </c>
      <c r="H11" s="52">
        <f>6165+3210</f>
        <v>9375</v>
      </c>
      <c r="I11" s="52"/>
      <c r="J11" s="52"/>
      <c r="K11" s="52"/>
      <c r="L11" s="52"/>
    </row>
    <row r="12" spans="1:12" s="53" customFormat="1" ht="12.95" customHeight="1" thickBot="1">
      <c r="A12" s="51" t="s">
        <v>10</v>
      </c>
      <c r="B12" s="52">
        <f t="shared" si="0"/>
        <v>76154</v>
      </c>
      <c r="C12" s="52"/>
      <c r="D12" s="52">
        <f>3105+245+46+1166+6991+27+1+7+133</f>
        <v>11721</v>
      </c>
      <c r="E12" s="52">
        <f>32567+201</f>
        <v>32768</v>
      </c>
      <c r="F12" s="52">
        <f>9378+58</f>
        <v>9436</v>
      </c>
      <c r="G12" s="52">
        <f>8707+80</f>
        <v>8787</v>
      </c>
      <c r="H12" s="52">
        <f>4062+9290+90</f>
        <v>13442</v>
      </c>
      <c r="I12" s="52"/>
      <c r="J12" s="52"/>
      <c r="K12" s="52"/>
      <c r="L12" s="52"/>
    </row>
    <row r="13" spans="1:12" s="53" customFormat="1" ht="12.95" customHeight="1" thickBot="1">
      <c r="A13" s="54" t="s">
        <v>76</v>
      </c>
      <c r="B13" s="52">
        <f t="shared" si="0"/>
        <v>18981</v>
      </c>
      <c r="C13" s="52"/>
      <c r="D13" s="52">
        <f>1174+21+24+209+555</f>
        <v>1983</v>
      </c>
      <c r="E13" s="52">
        <f>4593</f>
        <v>4593</v>
      </c>
      <c r="F13" s="52">
        <f>1324</f>
        <v>1324</v>
      </c>
      <c r="G13" s="52">
        <f>2123</f>
        <v>2123</v>
      </c>
      <c r="H13" s="52">
        <f>7969+989</f>
        <v>8958</v>
      </c>
      <c r="I13" s="52"/>
      <c r="J13" s="52"/>
      <c r="K13" s="52"/>
      <c r="L13" s="52"/>
    </row>
    <row r="14" spans="1:12" s="53" customFormat="1" ht="12.95" customHeight="1" thickBot="1">
      <c r="A14" s="51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</row>
    <row r="15" spans="1:12" s="57" customFormat="1" ht="28.5" customHeight="1" thickBot="1">
      <c r="A15" s="55" t="s">
        <v>45</v>
      </c>
      <c r="B15" s="56">
        <f t="shared" si="0"/>
        <v>131274.70000000001</v>
      </c>
      <c r="C15" s="56"/>
      <c r="D15" s="56">
        <f>SUM(D16:D19)</f>
        <v>21045.7</v>
      </c>
      <c r="E15" s="56">
        <f>SUM(E16:E19)</f>
        <v>58692</v>
      </c>
      <c r="F15" s="56">
        <f>SUM(F16:F19)</f>
        <v>16752</v>
      </c>
      <c r="G15" s="56">
        <f>SUM(G16:G19)</f>
        <v>16406</v>
      </c>
      <c r="H15" s="56">
        <f>SUM(H16:H19)</f>
        <v>18379</v>
      </c>
      <c r="I15" s="56"/>
      <c r="J15" s="56"/>
      <c r="K15" s="56"/>
      <c r="L15" s="56"/>
    </row>
    <row r="16" spans="1:12" s="53" customFormat="1" ht="12.95" customHeight="1" thickBot="1">
      <c r="A16" s="51" t="s">
        <v>8</v>
      </c>
      <c r="B16" s="52">
        <f t="shared" si="0"/>
        <v>89193.5</v>
      </c>
      <c r="C16" s="52"/>
      <c r="D16" s="52">
        <f>7660+275+14+1662+2842+2652.5+53+3+377+272</f>
        <v>15810.5</v>
      </c>
      <c r="E16" s="52">
        <f>33653+7845</f>
        <v>41498</v>
      </c>
      <c r="F16" s="52">
        <f>9582+2233</f>
        <v>11815</v>
      </c>
      <c r="G16" s="52">
        <f>7459+4913</f>
        <v>12372</v>
      </c>
      <c r="H16" s="52">
        <f>2873.5+2718+1216.5+890</f>
        <v>7698</v>
      </c>
      <c r="I16" s="52"/>
      <c r="J16" s="52"/>
      <c r="K16" s="52"/>
      <c r="L16" s="52"/>
    </row>
    <row r="17" spans="1:12" s="53" customFormat="1" ht="12.95" customHeight="1" thickBot="1">
      <c r="A17" s="51" t="s">
        <v>9</v>
      </c>
      <c r="B17" s="52">
        <f t="shared" si="0"/>
        <v>21602</v>
      </c>
      <c r="C17" s="52"/>
      <c r="D17" s="52">
        <f>1634+109+12+816+470</f>
        <v>3041</v>
      </c>
      <c r="E17" s="52">
        <v>9952</v>
      </c>
      <c r="F17" s="52">
        <v>2851</v>
      </c>
      <c r="G17" s="52">
        <v>2410</v>
      </c>
      <c r="H17" s="52">
        <f>2761+587</f>
        <v>3348</v>
      </c>
      <c r="I17" s="52"/>
      <c r="J17" s="52"/>
      <c r="K17" s="52"/>
      <c r="L17" s="52"/>
    </row>
    <row r="18" spans="1:12" s="53" customFormat="1" ht="12.95" customHeight="1" thickBot="1">
      <c r="A18" s="51" t="s">
        <v>10</v>
      </c>
      <c r="B18" s="52">
        <f t="shared" si="0"/>
        <v>11572</v>
      </c>
      <c r="C18" s="52"/>
      <c r="D18" s="52">
        <f>217.5+8+3+127.5+850</f>
        <v>1206</v>
      </c>
      <c r="E18" s="52">
        <v>5273</v>
      </c>
      <c r="F18" s="52">
        <v>1518</v>
      </c>
      <c r="G18" s="52">
        <v>773</v>
      </c>
      <c r="H18" s="52">
        <f>2398+404</f>
        <v>2802</v>
      </c>
      <c r="I18" s="52"/>
      <c r="J18" s="52"/>
      <c r="K18" s="52"/>
      <c r="L18" s="52"/>
    </row>
    <row r="19" spans="1:12" s="53" customFormat="1" ht="12.95" customHeight="1" thickBot="1">
      <c r="A19" s="54" t="s">
        <v>76</v>
      </c>
      <c r="B19" s="52">
        <f t="shared" si="0"/>
        <v>8907.2000000000007</v>
      </c>
      <c r="C19" s="52"/>
      <c r="D19" s="52">
        <f>647.2+17+8+129+187</f>
        <v>988.2</v>
      </c>
      <c r="E19" s="52">
        <v>1969</v>
      </c>
      <c r="F19" s="52">
        <v>568</v>
      </c>
      <c r="G19" s="52">
        <v>851</v>
      </c>
      <c r="H19" s="52">
        <f>4445+86</f>
        <v>4531</v>
      </c>
      <c r="I19" s="52"/>
      <c r="J19" s="52"/>
      <c r="K19" s="52"/>
      <c r="L19" s="52"/>
    </row>
    <row r="20" spans="1:12" s="53" customFormat="1" ht="12.95" customHeight="1" thickBot="1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</row>
    <row r="21" spans="1:12" s="53" customFormat="1" ht="27" customHeight="1" thickBot="1">
      <c r="A21" s="55" t="s">
        <v>46</v>
      </c>
      <c r="B21" s="56">
        <f t="shared" si="0"/>
        <v>468604.8</v>
      </c>
      <c r="C21" s="56"/>
      <c r="D21" s="56">
        <f>SUM(D22:D25)</f>
        <v>54544.800000000003</v>
      </c>
      <c r="E21" s="56">
        <f>SUM(E22:E25)</f>
        <v>241809</v>
      </c>
      <c r="F21" s="56">
        <f>SUM(F22:F25)</f>
        <v>68935</v>
      </c>
      <c r="G21" s="56">
        <f>SUM(G22:G25)</f>
        <v>38444</v>
      </c>
      <c r="H21" s="56">
        <f>SUM(H22:H25)</f>
        <v>64872</v>
      </c>
      <c r="I21" s="52"/>
      <c r="J21" s="52"/>
      <c r="K21" s="52"/>
      <c r="L21" s="52"/>
    </row>
    <row r="22" spans="1:12" s="53" customFormat="1" ht="12.95" customHeight="1" thickBot="1">
      <c r="A22" s="51" t="s">
        <v>8</v>
      </c>
      <c r="B22" s="52">
        <f t="shared" si="0"/>
        <v>373456</v>
      </c>
      <c r="C22" s="52"/>
      <c r="D22" s="52">
        <f>16819.5+4832.5+80+8956+12833</f>
        <v>43521</v>
      </c>
      <c r="E22" s="52">
        <v>210082</v>
      </c>
      <c r="F22" s="52">
        <v>59816</v>
      </c>
      <c r="G22" s="52">
        <v>28107</v>
      </c>
      <c r="H22" s="52">
        <f>12183+19747</f>
        <v>31930</v>
      </c>
      <c r="I22" s="52"/>
      <c r="J22" s="52"/>
      <c r="K22" s="52"/>
      <c r="L22" s="52"/>
    </row>
    <row r="23" spans="1:12" s="53" customFormat="1" ht="12.95" customHeight="1" thickBot="1">
      <c r="A23" s="51" t="s">
        <v>9</v>
      </c>
      <c r="B23" s="52">
        <f t="shared" si="0"/>
        <v>30677.5</v>
      </c>
      <c r="C23" s="52"/>
      <c r="D23" s="52">
        <f>528.5+615+7+973+834</f>
        <v>2957.5</v>
      </c>
      <c r="E23" s="52">
        <v>12425</v>
      </c>
      <c r="F23" s="52">
        <v>3559</v>
      </c>
      <c r="G23" s="52">
        <v>4137</v>
      </c>
      <c r="H23" s="52">
        <v>7599</v>
      </c>
      <c r="I23" s="52"/>
      <c r="J23" s="52"/>
      <c r="K23" s="52"/>
      <c r="L23" s="52"/>
    </row>
    <row r="24" spans="1:12" s="53" customFormat="1" ht="12.95" customHeight="1" thickBot="1">
      <c r="A24" s="51" t="s">
        <v>10</v>
      </c>
      <c r="B24" s="52">
        <f t="shared" si="0"/>
        <v>47486</v>
      </c>
      <c r="C24" s="52"/>
      <c r="D24" s="52">
        <f>335+309+14+578+4745</f>
        <v>5981</v>
      </c>
      <c r="E24" s="52">
        <v>16182</v>
      </c>
      <c r="F24" s="52">
        <v>4660</v>
      </c>
      <c r="G24" s="52">
        <v>2187</v>
      </c>
      <c r="H24" s="52">
        <f>9493+8983</f>
        <v>18476</v>
      </c>
      <c r="I24" s="52"/>
      <c r="J24" s="52"/>
      <c r="K24" s="52"/>
      <c r="L24" s="52"/>
    </row>
    <row r="25" spans="1:12" s="53" customFormat="1" ht="12.95" customHeight="1" thickBot="1">
      <c r="A25" s="54" t="s">
        <v>76</v>
      </c>
      <c r="B25" s="52">
        <f t="shared" si="0"/>
        <v>16985.3</v>
      </c>
      <c r="C25" s="52"/>
      <c r="D25" s="52">
        <f>1048.5+179.3+4+450.5+403</f>
        <v>2085.3000000000002</v>
      </c>
      <c r="E25" s="52">
        <v>3120</v>
      </c>
      <c r="F25" s="52">
        <v>900</v>
      </c>
      <c r="G25" s="52">
        <v>4013</v>
      </c>
      <c r="H25" s="52">
        <f>3511+3356</f>
        <v>6867</v>
      </c>
      <c r="I25" s="52"/>
      <c r="J25" s="52"/>
      <c r="K25" s="52"/>
      <c r="L25" s="52"/>
    </row>
    <row r="26" spans="1:12" s="53" customFormat="1" ht="12.95" customHeight="1" thickBot="1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</row>
    <row r="27" spans="1:12" s="53" customFormat="1" ht="18" customHeight="1" thickBot="1">
      <c r="A27" s="55" t="s">
        <v>47</v>
      </c>
      <c r="B27" s="56">
        <f t="shared" si="0"/>
        <v>163214.5</v>
      </c>
      <c r="C27" s="56"/>
      <c r="D27" s="56">
        <f>SUM(D28:D31)</f>
        <v>17256.5</v>
      </c>
      <c r="E27" s="56">
        <f>SUM(E28:E31)</f>
        <v>49761</v>
      </c>
      <c r="F27" s="56">
        <f>SUM(F28:F31)</f>
        <v>14224</v>
      </c>
      <c r="G27" s="56">
        <f>SUM(G28:G31)</f>
        <v>14801</v>
      </c>
      <c r="H27" s="56">
        <f>SUM(H28:H31)</f>
        <v>67172</v>
      </c>
      <c r="I27" s="52"/>
      <c r="J27" s="52"/>
      <c r="K27" s="52"/>
      <c r="L27" s="52"/>
    </row>
    <row r="28" spans="1:12" s="53" customFormat="1" ht="12.95" customHeight="1" thickBot="1">
      <c r="A28" s="51" t="s">
        <v>8</v>
      </c>
      <c r="B28" s="52">
        <f t="shared" si="0"/>
        <v>119912</v>
      </c>
      <c r="C28" s="52"/>
      <c r="D28" s="52">
        <f>5428+100+18+982+931+2439+58+11+567+530</f>
        <v>11064</v>
      </c>
      <c r="E28" s="52">
        <f>18536+10011</f>
        <v>28547</v>
      </c>
      <c r="F28" s="52">
        <f>5278+2850</f>
        <v>8128</v>
      </c>
      <c r="G28" s="52">
        <f>7423+1048</f>
        <v>8471</v>
      </c>
      <c r="H28" s="52">
        <f>2789+49485+808+10620</f>
        <v>63702</v>
      </c>
      <c r="I28" s="52"/>
      <c r="J28" s="52"/>
      <c r="K28" s="52"/>
      <c r="L28" s="52"/>
    </row>
    <row r="29" spans="1:12" s="53" customFormat="1" ht="12.95" customHeight="1" thickBot="1">
      <c r="A29" s="51" t="s">
        <v>9</v>
      </c>
      <c r="B29" s="52">
        <f t="shared" si="0"/>
        <v>19193.5</v>
      </c>
      <c r="C29" s="52"/>
      <c r="D29" s="52">
        <f>2209.5+112+14+769+295</f>
        <v>3399.5</v>
      </c>
      <c r="E29" s="52">
        <v>8889</v>
      </c>
      <c r="F29" s="52">
        <v>2546</v>
      </c>
      <c r="G29" s="52">
        <v>3650</v>
      </c>
      <c r="H29" s="52">
        <v>709</v>
      </c>
      <c r="I29" s="52"/>
      <c r="J29" s="52"/>
      <c r="K29" s="52"/>
      <c r="L29" s="52"/>
    </row>
    <row r="30" spans="1:12" s="53" customFormat="1" ht="12.95" customHeight="1" thickBot="1">
      <c r="A30" s="51" t="s">
        <v>10</v>
      </c>
      <c r="B30" s="52">
        <f t="shared" si="0"/>
        <v>16268</v>
      </c>
      <c r="C30" s="52"/>
      <c r="D30" s="52">
        <f>630+29+10+316+154</f>
        <v>1139</v>
      </c>
      <c r="E30" s="52">
        <v>10528</v>
      </c>
      <c r="F30" s="52">
        <v>3032</v>
      </c>
      <c r="G30" s="52">
        <v>1280</v>
      </c>
      <c r="H30" s="52">
        <v>289</v>
      </c>
      <c r="I30" s="52"/>
      <c r="J30" s="52"/>
      <c r="K30" s="52"/>
      <c r="L30" s="52"/>
    </row>
    <row r="31" spans="1:12" s="53" customFormat="1" ht="12.95" customHeight="1" thickBot="1">
      <c r="A31" s="54" t="s">
        <v>76</v>
      </c>
      <c r="B31" s="52">
        <f t="shared" si="0"/>
        <v>7841</v>
      </c>
      <c r="C31" s="52"/>
      <c r="D31" s="52">
        <f>1181+35+19+259+160</f>
        <v>1654</v>
      </c>
      <c r="E31" s="52">
        <v>1797</v>
      </c>
      <c r="F31" s="52">
        <v>518</v>
      </c>
      <c r="G31" s="52">
        <v>1400</v>
      </c>
      <c r="H31" s="52">
        <f>2249+223</f>
        <v>2472</v>
      </c>
      <c r="I31" s="52"/>
      <c r="J31" s="52"/>
      <c r="K31" s="52"/>
      <c r="L31" s="52"/>
    </row>
    <row r="32" spans="1:12" s="53" customFormat="1" ht="12.95" customHeight="1" thickBot="1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</row>
    <row r="33" spans="1:12" s="53" customFormat="1" ht="39" customHeight="1" thickBot="1">
      <c r="A33" s="55" t="s">
        <v>48</v>
      </c>
      <c r="B33" s="56">
        <f t="shared" si="0"/>
        <v>44981.5</v>
      </c>
      <c r="C33" s="56"/>
      <c r="D33" s="56">
        <f>SUM(D34:D37)</f>
        <v>3602.5</v>
      </c>
      <c r="E33" s="56">
        <f>SUM(E34:E37)</f>
        <v>15979</v>
      </c>
      <c r="F33" s="56">
        <f>SUM(F34:F37)</f>
        <v>4571</v>
      </c>
      <c r="G33" s="56">
        <f>SUM(G34:G37)</f>
        <v>3100</v>
      </c>
      <c r="H33" s="56">
        <f>SUM(H34:H37)</f>
        <v>17729</v>
      </c>
      <c r="I33" s="52"/>
      <c r="J33" s="52"/>
      <c r="K33" s="52"/>
      <c r="L33" s="52"/>
    </row>
    <row r="34" spans="1:12" s="53" customFormat="1" ht="12.95" customHeight="1" thickBot="1">
      <c r="A34" s="51" t="s">
        <v>8</v>
      </c>
      <c r="B34" s="52">
        <f t="shared" si="0"/>
        <v>0</v>
      </c>
      <c r="C34" s="52"/>
      <c r="D34" s="52"/>
      <c r="E34" s="52"/>
      <c r="F34" s="52"/>
      <c r="G34" s="52"/>
      <c r="H34" s="52"/>
      <c r="I34" s="52"/>
      <c r="J34" s="52"/>
      <c r="K34" s="52"/>
      <c r="L34" s="52"/>
    </row>
    <row r="35" spans="1:12" s="53" customFormat="1" ht="12.95" customHeight="1" thickBot="1">
      <c r="A35" s="51" t="s">
        <v>9</v>
      </c>
      <c r="B35" s="52">
        <f t="shared" si="0"/>
        <v>30281</v>
      </c>
      <c r="C35" s="52"/>
      <c r="D35" s="52">
        <f>1003+72+16+467+212</f>
        <v>1770</v>
      </c>
      <c r="E35" s="52">
        <v>7368</v>
      </c>
      <c r="F35" s="52">
        <v>2097</v>
      </c>
      <c r="G35" s="52">
        <v>2179</v>
      </c>
      <c r="H35" s="52">
        <f>16667+200</f>
        <v>16867</v>
      </c>
      <c r="I35" s="52"/>
      <c r="J35" s="52"/>
      <c r="K35" s="52"/>
      <c r="L35" s="52"/>
    </row>
    <row r="36" spans="1:12" s="53" customFormat="1" ht="12.95" customHeight="1" thickBot="1">
      <c r="A36" s="51" t="s">
        <v>10</v>
      </c>
      <c r="B36" s="52">
        <f t="shared" si="0"/>
        <v>13026.5</v>
      </c>
      <c r="C36" s="52"/>
      <c r="D36" s="52">
        <f>1025.5+37+5+205+222</f>
        <v>1494.5</v>
      </c>
      <c r="E36" s="52">
        <v>8076</v>
      </c>
      <c r="F36" s="52">
        <v>2320</v>
      </c>
      <c r="G36" s="52">
        <v>688</v>
      </c>
      <c r="H36" s="52">
        <v>448</v>
      </c>
      <c r="I36" s="52"/>
      <c r="J36" s="52"/>
      <c r="K36" s="52"/>
      <c r="L36" s="52"/>
    </row>
    <row r="37" spans="1:12" s="53" customFormat="1" ht="12.95" customHeight="1" thickBot="1">
      <c r="A37" s="54" t="s">
        <v>76</v>
      </c>
      <c r="B37" s="52">
        <f t="shared" si="0"/>
        <v>1674</v>
      </c>
      <c r="C37" s="52"/>
      <c r="D37" s="52">
        <f>195+4+14+48+77</f>
        <v>338</v>
      </c>
      <c r="E37" s="52">
        <v>535</v>
      </c>
      <c r="F37" s="52">
        <v>154</v>
      </c>
      <c r="G37" s="52">
        <v>233</v>
      </c>
      <c r="H37" s="52">
        <f>207+207</f>
        <v>414</v>
      </c>
      <c r="I37" s="52"/>
      <c r="J37" s="52"/>
      <c r="K37" s="52"/>
      <c r="L37" s="52"/>
    </row>
    <row r="38" spans="1:12" s="53" customFormat="1" ht="12.95" customHeight="1" thickBot="1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</row>
    <row r="39" spans="1:12" s="53" customFormat="1" ht="26.1" customHeight="1" thickBot="1">
      <c r="A39" s="55" t="s">
        <v>49</v>
      </c>
      <c r="B39" s="56">
        <f t="shared" si="0"/>
        <v>9186.5</v>
      </c>
      <c r="C39" s="56"/>
      <c r="D39" s="56">
        <f>SUM(D40:D43)</f>
        <v>1523.5</v>
      </c>
      <c r="E39" s="56">
        <f>SUM(E40:E43)</f>
        <v>4884</v>
      </c>
      <c r="F39" s="56">
        <f>SUM(F40:F43)</f>
        <v>1394</v>
      </c>
      <c r="G39" s="56">
        <f>SUM(G40:G43)</f>
        <v>463</v>
      </c>
      <c r="H39" s="56">
        <f>SUM(H40:H43)</f>
        <v>922</v>
      </c>
      <c r="I39" s="52"/>
      <c r="J39" s="52"/>
      <c r="K39" s="52"/>
      <c r="L39" s="52"/>
    </row>
    <row r="40" spans="1:12" s="53" customFormat="1" ht="12.95" customHeight="1" thickBot="1">
      <c r="A40" s="51" t="s">
        <v>8</v>
      </c>
      <c r="B40" s="52">
        <f t="shared" si="0"/>
        <v>0</v>
      </c>
      <c r="C40" s="52"/>
      <c r="D40" s="52"/>
      <c r="E40" s="52"/>
      <c r="F40" s="52"/>
      <c r="G40" s="52"/>
      <c r="H40" s="52"/>
      <c r="I40" s="52"/>
      <c r="J40" s="52"/>
      <c r="K40" s="52"/>
      <c r="L40" s="52"/>
    </row>
    <row r="41" spans="1:12" s="53" customFormat="1" ht="12.95" customHeight="1" thickBot="1">
      <c r="A41" s="51" t="s">
        <v>9</v>
      </c>
      <c r="B41" s="52">
        <f t="shared" si="0"/>
        <v>7237.5</v>
      </c>
      <c r="C41" s="52"/>
      <c r="D41" s="52">
        <f>184+39+161+28.5+390+83+1+341+59</f>
        <v>1286.5</v>
      </c>
      <c r="E41" s="52">
        <f>1392+2951</f>
        <v>4343</v>
      </c>
      <c r="F41" s="52">
        <f>397+841</f>
        <v>1238</v>
      </c>
      <c r="G41" s="52">
        <f>63+134</f>
        <v>197</v>
      </c>
      <c r="H41" s="52">
        <f>55+118</f>
        <v>173</v>
      </c>
      <c r="I41" s="52"/>
      <c r="J41" s="52"/>
      <c r="K41" s="52"/>
      <c r="L41" s="52"/>
    </row>
    <row r="42" spans="1:12" s="53" customFormat="1" ht="12.95" customHeight="1" thickBot="1">
      <c r="A42" s="51" t="s">
        <v>10</v>
      </c>
      <c r="B42" s="52">
        <f t="shared" si="0"/>
        <v>0</v>
      </c>
      <c r="C42" s="52"/>
      <c r="D42" s="52"/>
      <c r="E42" s="52"/>
      <c r="F42" s="52"/>
      <c r="G42" s="52"/>
      <c r="H42" s="52"/>
      <c r="I42" s="52"/>
      <c r="J42" s="52"/>
      <c r="K42" s="52"/>
      <c r="L42" s="52"/>
    </row>
    <row r="43" spans="1:12" s="53" customFormat="1" ht="12.95" customHeight="1" thickBot="1">
      <c r="A43" s="54" t="s">
        <v>76</v>
      </c>
      <c r="B43" s="52">
        <f t="shared" si="0"/>
        <v>1949</v>
      </c>
      <c r="C43" s="52"/>
      <c r="D43" s="52">
        <f>112+3+1+78+43</f>
        <v>237</v>
      </c>
      <c r="E43" s="52">
        <v>541</v>
      </c>
      <c r="F43" s="52">
        <v>156</v>
      </c>
      <c r="G43" s="52">
        <v>266</v>
      </c>
      <c r="H43" s="52">
        <f>541+208</f>
        <v>749</v>
      </c>
      <c r="I43" s="52"/>
      <c r="J43" s="52"/>
      <c r="K43" s="52"/>
      <c r="L43" s="52"/>
    </row>
    <row r="44" spans="1:12" s="53" customFormat="1" ht="12.95" customHeight="1" thickBot="1">
      <c r="A44" s="58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</row>
    <row r="45" spans="1:12" s="53" customFormat="1" ht="26.1" customHeight="1" thickBot="1">
      <c r="A45" s="55" t="s">
        <v>50</v>
      </c>
      <c r="B45" s="56">
        <f>D45+E45+F45+G45+H45</f>
        <v>2003282.7</v>
      </c>
      <c r="C45" s="56"/>
      <c r="D45" s="56">
        <f>SUM(D46:D49)</f>
        <v>279037.7</v>
      </c>
      <c r="E45" s="56">
        <f>SUM(E46:E49)</f>
        <v>800356</v>
      </c>
      <c r="F45" s="56">
        <f>SUM(F46:F49)</f>
        <v>228300</v>
      </c>
      <c r="G45" s="56">
        <f>SUM(G46:G49)</f>
        <v>350753</v>
      </c>
      <c r="H45" s="56">
        <f>SUM(H46:H49)</f>
        <v>344836</v>
      </c>
      <c r="I45" s="56"/>
      <c r="J45" s="56"/>
      <c r="K45" s="56"/>
      <c r="L45" s="56"/>
    </row>
    <row r="46" spans="1:12" s="53" customFormat="1" ht="12.95" customHeight="1" thickBot="1">
      <c r="A46" s="51" t="s">
        <v>8</v>
      </c>
      <c r="B46" s="52">
        <f t="shared" si="0"/>
        <v>1538361</v>
      </c>
      <c r="C46" s="52"/>
      <c r="D46" s="52">
        <f>140370+7883+607+25725+44304</f>
        <v>218889</v>
      </c>
      <c r="E46" s="52">
        <v>609810</v>
      </c>
      <c r="F46" s="52">
        <v>173627</v>
      </c>
      <c r="G46" s="52">
        <v>299623</v>
      </c>
      <c r="H46" s="52">
        <f>85412+151000</f>
        <v>236412</v>
      </c>
      <c r="I46" s="52"/>
      <c r="J46" s="52"/>
      <c r="K46" s="52"/>
      <c r="L46" s="52"/>
    </row>
    <row r="47" spans="1:12" s="53" customFormat="1" ht="12.95" customHeight="1" thickBot="1">
      <c r="A47" s="51" t="s">
        <v>9</v>
      </c>
      <c r="B47" s="52">
        <f t="shared" si="0"/>
        <v>179216.4</v>
      </c>
      <c r="C47" s="52"/>
      <c r="D47" s="52">
        <f>11229+1478+134+5828+3765.4</f>
        <v>22434.400000000001</v>
      </c>
      <c r="E47" s="52">
        <v>74273</v>
      </c>
      <c r="F47" s="52">
        <v>21244</v>
      </c>
      <c r="G47" s="52">
        <v>22214</v>
      </c>
      <c r="H47" s="52">
        <f>25593+13458</f>
        <v>39051</v>
      </c>
      <c r="I47" s="52"/>
      <c r="J47" s="52"/>
      <c r="K47" s="52"/>
      <c r="L47" s="52"/>
    </row>
    <row r="48" spans="1:12" s="53" customFormat="1" ht="12.95" customHeight="1" thickBot="1">
      <c r="A48" s="51" t="s">
        <v>10</v>
      </c>
      <c r="B48" s="52">
        <f t="shared" si="0"/>
        <v>214211.4</v>
      </c>
      <c r="C48" s="52"/>
      <c r="D48" s="52">
        <f>10592+790+127+3359+13695.4</f>
        <v>28563.4</v>
      </c>
      <c r="E48" s="52">
        <v>100272</v>
      </c>
      <c r="F48" s="52">
        <v>28815</v>
      </c>
      <c r="G48" s="52">
        <v>16690</v>
      </c>
      <c r="H48" s="52">
        <f>16623+23248</f>
        <v>39871</v>
      </c>
      <c r="I48" s="52"/>
      <c r="J48" s="52"/>
      <c r="K48" s="52"/>
      <c r="L48" s="52"/>
    </row>
    <row r="49" spans="1:12" s="53" customFormat="1" ht="12.95" customHeight="1" thickBot="1">
      <c r="A49" s="54" t="s">
        <v>76</v>
      </c>
      <c r="B49" s="52">
        <f t="shared" si="0"/>
        <v>71493.899999999994</v>
      </c>
      <c r="C49" s="52"/>
      <c r="D49" s="52">
        <f>5602.4+305+91+1478+1674.5</f>
        <v>9150.9</v>
      </c>
      <c r="E49" s="52">
        <v>16001</v>
      </c>
      <c r="F49" s="52">
        <v>4614</v>
      </c>
      <c r="G49" s="52">
        <v>12226</v>
      </c>
      <c r="H49" s="52">
        <f>21966+7536</f>
        <v>29502</v>
      </c>
      <c r="I49" s="52"/>
      <c r="J49" s="52"/>
      <c r="K49" s="52"/>
      <c r="L49" s="52"/>
    </row>
    <row r="50" spans="1:12" s="53" customFormat="1" ht="12.95" customHeight="1" thickBot="1">
      <c r="A50" s="58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</row>
    <row r="51" spans="1:12" s="53" customFormat="1" ht="12.95" customHeight="1" thickBot="1">
      <c r="A51" s="55" t="s">
        <v>51</v>
      </c>
      <c r="B51" s="56">
        <f>SUM(C51:L51)</f>
        <v>127944</v>
      </c>
      <c r="C51" s="56"/>
      <c r="D51" s="56"/>
      <c r="E51" s="56"/>
      <c r="F51" s="56"/>
      <c r="G51" s="56"/>
      <c r="H51" s="56"/>
      <c r="I51" s="56">
        <f>SUM(I52:I55)</f>
        <v>309</v>
      </c>
      <c r="J51" s="56">
        <f>SUM(J52:J55)</f>
        <v>0</v>
      </c>
      <c r="K51" s="56">
        <f>SUM(K52:K55)</f>
        <v>1030</v>
      </c>
      <c r="L51" s="56">
        <f>SUM(L52:L55)</f>
        <v>126605</v>
      </c>
    </row>
    <row r="52" spans="1:12" s="53" customFormat="1" ht="12.95" customHeight="1" thickBot="1">
      <c r="A52" s="51" t="s">
        <v>8</v>
      </c>
      <c r="B52" s="52">
        <f t="shared" ref="B52:B55" si="1">SUM(C52:L52)</f>
        <v>70030</v>
      </c>
      <c r="C52" s="52"/>
      <c r="D52" s="52"/>
      <c r="E52" s="52"/>
      <c r="F52" s="52"/>
      <c r="G52" s="52"/>
      <c r="H52" s="52"/>
      <c r="I52" s="52">
        <v>309</v>
      </c>
      <c r="J52" s="52"/>
      <c r="K52" s="52">
        <v>1030</v>
      </c>
      <c r="L52" s="52">
        <f>1334+168+67189</f>
        <v>68691</v>
      </c>
    </row>
    <row r="53" spans="1:12" s="53" customFormat="1" ht="12.95" customHeight="1" thickBot="1">
      <c r="A53" s="51" t="s">
        <v>9</v>
      </c>
      <c r="B53" s="52">
        <f t="shared" si="1"/>
        <v>50539</v>
      </c>
      <c r="C53" s="52"/>
      <c r="D53" s="52"/>
      <c r="E53" s="52"/>
      <c r="F53" s="52"/>
      <c r="G53" s="52"/>
      <c r="H53" s="52"/>
      <c r="I53" s="52"/>
      <c r="J53" s="52"/>
      <c r="K53" s="52"/>
      <c r="L53" s="52">
        <f>50539</f>
        <v>50539</v>
      </c>
    </row>
    <row r="54" spans="1:12" s="53" customFormat="1" ht="12.95" customHeight="1" thickBot="1">
      <c r="A54" s="51" t="s">
        <v>10</v>
      </c>
      <c r="B54" s="52">
        <f t="shared" si="1"/>
        <v>5314</v>
      </c>
      <c r="C54" s="52"/>
      <c r="D54" s="52"/>
      <c r="E54" s="52"/>
      <c r="F54" s="52"/>
      <c r="G54" s="52"/>
      <c r="H54" s="52"/>
      <c r="I54" s="52"/>
      <c r="J54" s="52"/>
      <c r="K54" s="52"/>
      <c r="L54" s="52">
        <f>5314</f>
        <v>5314</v>
      </c>
    </row>
    <row r="55" spans="1:12" s="53" customFormat="1" ht="12.95" customHeight="1" thickBot="1">
      <c r="A55" s="54" t="s">
        <v>76</v>
      </c>
      <c r="B55" s="52">
        <f t="shared" si="1"/>
        <v>2061</v>
      </c>
      <c r="C55" s="52"/>
      <c r="D55" s="52"/>
      <c r="E55" s="52"/>
      <c r="F55" s="52"/>
      <c r="G55" s="52"/>
      <c r="H55" s="52"/>
      <c r="I55" s="52"/>
      <c r="J55" s="52"/>
      <c r="K55" s="52"/>
      <c r="L55" s="52">
        <v>2061</v>
      </c>
    </row>
    <row r="56" spans="1:12" ht="12.95" customHeight="1" thickBot="1">
      <c r="A56" s="41" t="s">
        <v>52</v>
      </c>
      <c r="B56" s="42">
        <f t="shared" ref="B56:L56" si="2">B45+B51</f>
        <v>2131226.7000000002</v>
      </c>
      <c r="C56" s="42">
        <f t="shared" si="2"/>
        <v>0</v>
      </c>
      <c r="D56" s="42">
        <f t="shared" si="2"/>
        <v>279037.7</v>
      </c>
      <c r="E56" s="42">
        <f t="shared" si="2"/>
        <v>800356</v>
      </c>
      <c r="F56" s="42">
        <f t="shared" si="2"/>
        <v>228300</v>
      </c>
      <c r="G56" s="42">
        <f t="shared" si="2"/>
        <v>350753</v>
      </c>
      <c r="H56" s="42">
        <f t="shared" si="2"/>
        <v>344836</v>
      </c>
      <c r="I56" s="42">
        <f t="shared" si="2"/>
        <v>309</v>
      </c>
      <c r="J56" s="42">
        <f t="shared" si="2"/>
        <v>0</v>
      </c>
      <c r="K56" s="42">
        <f t="shared" si="2"/>
        <v>1030</v>
      </c>
      <c r="L56" s="42">
        <f t="shared" si="2"/>
        <v>126605</v>
      </c>
    </row>
    <row r="57" spans="1:12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2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2">
      <c r="A59" s="50"/>
    </row>
  </sheetData>
  <mergeCells count="15">
    <mergeCell ref="A1:L1"/>
    <mergeCell ref="A2:L2"/>
    <mergeCell ref="A3:A7"/>
    <mergeCell ref="B3:B6"/>
    <mergeCell ref="C3:L3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59"/>
  <sheetViews>
    <sheetView topLeftCell="A28" workbookViewId="0">
      <selection activeCell="L54" sqref="L54"/>
    </sheetView>
  </sheetViews>
  <sheetFormatPr defaultColWidth="9.140625" defaultRowHeight="0.2" customHeight="1"/>
  <cols>
    <col min="1" max="1" width="26.28515625" style="76" customWidth="1"/>
    <col min="2" max="2" width="9.42578125" style="76" bestFit="1" customWidth="1"/>
    <col min="3" max="8" width="9.140625" style="76"/>
    <col min="9" max="9" width="11.140625" style="76" customWidth="1"/>
    <col min="10" max="16384" width="9.140625" style="76"/>
  </cols>
  <sheetData>
    <row r="1" spans="1:12" ht="15">
      <c r="A1" s="112" t="s">
        <v>35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1:12" ht="15.75" thickBot="1">
      <c r="A2" s="113" t="s">
        <v>83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2" ht="15.75" customHeight="1" thickBot="1">
      <c r="A3" s="114" t="s">
        <v>36</v>
      </c>
      <c r="B3" s="115" t="s">
        <v>37</v>
      </c>
      <c r="C3" s="116" t="s">
        <v>38</v>
      </c>
      <c r="D3" s="117"/>
      <c r="E3" s="117"/>
      <c r="F3" s="117"/>
      <c r="G3" s="117"/>
      <c r="H3" s="117"/>
      <c r="I3" s="117"/>
      <c r="J3" s="117"/>
      <c r="K3" s="117"/>
      <c r="L3" s="118"/>
    </row>
    <row r="4" spans="1:12" ht="81" customHeight="1">
      <c r="A4" s="119"/>
      <c r="B4" s="120"/>
      <c r="C4" s="121" t="s">
        <v>70</v>
      </c>
      <c r="D4" s="122" t="s">
        <v>71</v>
      </c>
      <c r="E4" s="122" t="s">
        <v>39</v>
      </c>
      <c r="F4" s="122" t="s">
        <v>74</v>
      </c>
      <c r="G4" s="122" t="s">
        <v>40</v>
      </c>
      <c r="H4" s="122" t="s">
        <v>75</v>
      </c>
      <c r="I4" s="122" t="s">
        <v>42</v>
      </c>
      <c r="J4" s="122" t="s">
        <v>73</v>
      </c>
      <c r="K4" s="122" t="s">
        <v>72</v>
      </c>
      <c r="L4" s="122" t="s">
        <v>41</v>
      </c>
    </row>
    <row r="5" spans="1:12" ht="15">
      <c r="A5" s="119"/>
      <c r="B5" s="120"/>
      <c r="C5" s="123"/>
      <c r="D5" s="124"/>
      <c r="E5" s="124"/>
      <c r="F5" s="124"/>
      <c r="G5" s="124"/>
      <c r="H5" s="124"/>
      <c r="I5" s="124"/>
      <c r="J5" s="124"/>
      <c r="K5" s="124"/>
      <c r="L5" s="124"/>
    </row>
    <row r="6" spans="1:12" ht="11.25" customHeight="1" thickBot="1">
      <c r="A6" s="119"/>
      <c r="B6" s="125"/>
      <c r="C6" s="126"/>
      <c r="D6" s="127"/>
      <c r="E6" s="127"/>
      <c r="F6" s="127"/>
      <c r="G6" s="127"/>
      <c r="H6" s="127"/>
      <c r="I6" s="127"/>
      <c r="J6" s="127"/>
      <c r="K6" s="127"/>
      <c r="L6" s="127"/>
    </row>
    <row r="7" spans="1:12" ht="15.75" thickBot="1">
      <c r="A7" s="128"/>
      <c r="B7" s="129">
        <v>1</v>
      </c>
      <c r="C7" s="130">
        <v>2</v>
      </c>
      <c r="D7" s="129">
        <v>3</v>
      </c>
      <c r="E7" s="129">
        <v>4</v>
      </c>
      <c r="F7" s="129">
        <v>5</v>
      </c>
      <c r="G7" s="129">
        <v>6</v>
      </c>
      <c r="H7" s="129">
        <v>7</v>
      </c>
      <c r="I7" s="129">
        <v>8</v>
      </c>
      <c r="J7" s="129">
        <v>9</v>
      </c>
      <c r="K7" s="131">
        <v>10</v>
      </c>
      <c r="L7" s="129">
        <v>11</v>
      </c>
    </row>
    <row r="8" spans="1:12" ht="27" customHeight="1" thickBot="1">
      <c r="A8" s="132" t="s">
        <v>43</v>
      </c>
      <c r="B8" s="133"/>
      <c r="C8" s="130"/>
      <c r="D8" s="129"/>
      <c r="E8" s="129"/>
      <c r="F8" s="129"/>
      <c r="G8" s="129"/>
      <c r="H8" s="129"/>
      <c r="I8" s="129"/>
      <c r="J8" s="129"/>
      <c r="K8" s="129"/>
      <c r="L8" s="129"/>
    </row>
    <row r="9" spans="1:12" s="77" customFormat="1" ht="27" customHeight="1" thickBot="1">
      <c r="A9" s="134" t="s">
        <v>44</v>
      </c>
      <c r="B9" s="135">
        <f>D9+E9+F9+G9+H9</f>
        <v>842303.28999999992</v>
      </c>
      <c r="C9" s="135"/>
      <c r="D9" s="135">
        <f>SUM(D10:D13)</f>
        <v>118495.32</v>
      </c>
      <c r="E9" s="135">
        <f>SUM(E10:E13)</f>
        <v>302160.69999999995</v>
      </c>
      <c r="F9" s="135">
        <f>SUM(F10:F13)</f>
        <v>86204.29</v>
      </c>
      <c r="G9" s="135">
        <f>SUM(G10:G13)</f>
        <v>224015.02</v>
      </c>
      <c r="H9" s="135">
        <f>SUM(H10:H13)</f>
        <v>111427.96</v>
      </c>
      <c r="I9" s="135"/>
      <c r="J9" s="135"/>
      <c r="K9" s="135"/>
      <c r="L9" s="135"/>
    </row>
    <row r="10" spans="1:12" s="78" customFormat="1" ht="12.95" customHeight="1" thickBot="1">
      <c r="A10" s="136" t="s">
        <v>8</v>
      </c>
      <c r="B10" s="72">
        <f t="shared" ref="B10:B49" si="0">D10+E10+F10+G10+H10</f>
        <v>685751.34000000008</v>
      </c>
      <c r="C10" s="72"/>
      <c r="D10" s="72">
        <f>'2020'!D10*1.03</f>
        <v>96145.35</v>
      </c>
      <c r="E10" s="72">
        <f>'2020'!E10*1.03</f>
        <v>237713.7</v>
      </c>
      <c r="F10" s="72">
        <f>'2020'!F10*1.03</f>
        <v>67684.39</v>
      </c>
      <c r="G10" s="72">
        <f>'2020'!G10*1.03</f>
        <v>205096.69</v>
      </c>
      <c r="H10" s="72">
        <f>'2020'!H10*1.03</f>
        <v>79111.210000000006</v>
      </c>
      <c r="I10" s="72"/>
      <c r="J10" s="72"/>
      <c r="K10" s="72"/>
      <c r="L10" s="72"/>
    </row>
    <row r="11" spans="1:12" s="78" customFormat="1" ht="12.95" customHeight="1" thickBot="1">
      <c r="A11" s="136" t="s">
        <v>9</v>
      </c>
      <c r="B11" s="72">
        <f t="shared" si="0"/>
        <v>59514.249999999993</v>
      </c>
      <c r="C11" s="72"/>
      <c r="D11" s="72">
        <f>'2020'!D11*1.01</f>
        <v>8371.89</v>
      </c>
      <c r="E11" s="72">
        <f>'2020'!E11*1.01</f>
        <v>26338.78</v>
      </c>
      <c r="F11" s="72">
        <f>'2020'!F11*1.01</f>
        <v>7544.7</v>
      </c>
      <c r="G11" s="72">
        <f>'2020'!G11*1.01</f>
        <v>7790.13</v>
      </c>
      <c r="H11" s="72">
        <f>'2020'!H11*1.01</f>
        <v>9468.75</v>
      </c>
      <c r="I11" s="72"/>
      <c r="J11" s="72"/>
      <c r="K11" s="72"/>
      <c r="L11" s="72"/>
    </row>
    <row r="12" spans="1:12" s="78" customFormat="1" ht="12.95" customHeight="1" thickBot="1">
      <c r="A12" s="136" t="s">
        <v>10</v>
      </c>
      <c r="B12" s="72">
        <f t="shared" si="0"/>
        <v>77677.08</v>
      </c>
      <c r="C12" s="72"/>
      <c r="D12" s="72">
        <f>'2020'!D12*1.02</f>
        <v>11955.42</v>
      </c>
      <c r="E12" s="72">
        <f>'2020'!E12*1.02</f>
        <v>33423.360000000001</v>
      </c>
      <c r="F12" s="72">
        <f>'2020'!F12*1.02</f>
        <v>9624.7199999999993</v>
      </c>
      <c r="G12" s="72">
        <f>'2020'!G12*1.02</f>
        <v>8962.74</v>
      </c>
      <c r="H12" s="72">
        <f>'2020'!H12*1.02</f>
        <v>13710.84</v>
      </c>
      <c r="I12" s="72"/>
      <c r="J12" s="72"/>
      <c r="K12" s="72"/>
      <c r="L12" s="72"/>
    </row>
    <row r="13" spans="1:12" s="78" customFormat="1" ht="12.95" customHeight="1" thickBot="1">
      <c r="A13" s="137" t="s">
        <v>76</v>
      </c>
      <c r="B13" s="72">
        <f t="shared" si="0"/>
        <v>19360.62</v>
      </c>
      <c r="C13" s="72"/>
      <c r="D13" s="72">
        <f>'2020'!D13*1.02</f>
        <v>2022.66</v>
      </c>
      <c r="E13" s="72">
        <f>'2020'!E13*1.02</f>
        <v>4684.8599999999997</v>
      </c>
      <c r="F13" s="72">
        <f>'2020'!F13*1.02</f>
        <v>1350.48</v>
      </c>
      <c r="G13" s="72">
        <f>'2020'!G13*1.02</f>
        <v>2165.46</v>
      </c>
      <c r="H13" s="72">
        <f>'2020'!H13*1.02</f>
        <v>9137.16</v>
      </c>
      <c r="I13" s="72"/>
      <c r="J13" s="72"/>
      <c r="K13" s="72"/>
      <c r="L13" s="72"/>
    </row>
    <row r="14" spans="1:12" s="78" customFormat="1" ht="12.95" customHeight="1" thickBot="1">
      <c r="A14" s="136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</row>
    <row r="15" spans="1:12" s="77" customFormat="1" ht="28.5" customHeight="1" thickBot="1">
      <c r="A15" s="134" t="s">
        <v>45</v>
      </c>
      <c r="B15" s="135">
        <f t="shared" si="0"/>
        <v>134576.109</v>
      </c>
      <c r="C15" s="135"/>
      <c r="D15" s="135">
        <f>SUM(D16:D19)</f>
        <v>21594.308999999997</v>
      </c>
      <c r="E15" s="135">
        <f>SUM(E16:E19)</f>
        <v>60181.3</v>
      </c>
      <c r="F15" s="135">
        <f>SUM(F16:F19)</f>
        <v>17176.68</v>
      </c>
      <c r="G15" s="135">
        <f>SUM(G16:G19)</f>
        <v>16833.740000000002</v>
      </c>
      <c r="H15" s="135">
        <f>SUM(H16:H19)</f>
        <v>18790.079999999998</v>
      </c>
      <c r="I15" s="135"/>
      <c r="J15" s="135"/>
      <c r="K15" s="135"/>
      <c r="L15" s="135"/>
    </row>
    <row r="16" spans="1:12" s="78" customFormat="1" ht="12.95" customHeight="1" thickBot="1">
      <c r="A16" s="136" t="s">
        <v>8</v>
      </c>
      <c r="B16" s="72">
        <f t="shared" si="0"/>
        <v>91869.305000000008</v>
      </c>
      <c r="C16" s="72"/>
      <c r="D16" s="72">
        <f>'2020'!D16*1.03</f>
        <v>16284.815000000001</v>
      </c>
      <c r="E16" s="72">
        <f>'2020'!E16*1.03</f>
        <v>42742.94</v>
      </c>
      <c r="F16" s="72">
        <f>'2020'!F16*1.03</f>
        <v>12169.45</v>
      </c>
      <c r="G16" s="72">
        <f>'2020'!G16*1.03</f>
        <v>12743.16</v>
      </c>
      <c r="H16" s="72">
        <f>'2020'!H16*1.03</f>
        <v>7928.9400000000005</v>
      </c>
      <c r="I16" s="72"/>
      <c r="J16" s="72"/>
      <c r="K16" s="72"/>
      <c r="L16" s="72"/>
    </row>
    <row r="17" spans="1:12" s="78" customFormat="1" ht="12.95" customHeight="1" thickBot="1">
      <c r="A17" s="136" t="s">
        <v>9</v>
      </c>
      <c r="B17" s="72">
        <f t="shared" si="0"/>
        <v>21818.02</v>
      </c>
      <c r="C17" s="72"/>
      <c r="D17" s="72">
        <f>'2020'!D17*1.01</f>
        <v>3071.41</v>
      </c>
      <c r="E17" s="72">
        <f>'2020'!E17*1.01</f>
        <v>10051.52</v>
      </c>
      <c r="F17" s="72">
        <f>'2020'!F17*1.01</f>
        <v>2879.51</v>
      </c>
      <c r="G17" s="72">
        <f>'2020'!G17*1.01</f>
        <v>2434.1</v>
      </c>
      <c r="H17" s="72">
        <f>'2020'!H17*1.01</f>
        <v>3381.48</v>
      </c>
      <c r="I17" s="72"/>
      <c r="J17" s="72"/>
      <c r="K17" s="72"/>
      <c r="L17" s="72"/>
    </row>
    <row r="18" spans="1:12" s="78" customFormat="1" ht="12.95" customHeight="1" thickBot="1">
      <c r="A18" s="136" t="s">
        <v>10</v>
      </c>
      <c r="B18" s="72">
        <f t="shared" si="0"/>
        <v>11803.440000000002</v>
      </c>
      <c r="C18" s="72"/>
      <c r="D18" s="72">
        <f>'2020'!D18*1.02</f>
        <v>1230.1200000000001</v>
      </c>
      <c r="E18" s="72">
        <f>'2020'!E18*1.02</f>
        <v>5378.46</v>
      </c>
      <c r="F18" s="72">
        <f>'2020'!F18*1.02</f>
        <v>1548.3600000000001</v>
      </c>
      <c r="G18" s="72">
        <f>'2020'!G18*1.02</f>
        <v>788.46</v>
      </c>
      <c r="H18" s="72">
        <f>'2020'!H18*1.02</f>
        <v>2858.04</v>
      </c>
      <c r="I18" s="72"/>
      <c r="J18" s="72"/>
      <c r="K18" s="72"/>
      <c r="L18" s="72"/>
    </row>
    <row r="19" spans="1:12" s="78" customFormat="1" ht="12.95" customHeight="1" thickBot="1">
      <c r="A19" s="137" t="s">
        <v>76</v>
      </c>
      <c r="B19" s="72">
        <f t="shared" si="0"/>
        <v>9085.344000000001</v>
      </c>
      <c r="C19" s="72"/>
      <c r="D19" s="72">
        <f>'2020'!D19*1.02</f>
        <v>1007.9640000000001</v>
      </c>
      <c r="E19" s="72">
        <f>'2020'!E19*1.02</f>
        <v>2008.38</v>
      </c>
      <c r="F19" s="72">
        <f>'2020'!F19*1.02</f>
        <v>579.36</v>
      </c>
      <c r="G19" s="72">
        <f>'2020'!G19*1.02</f>
        <v>868.02</v>
      </c>
      <c r="H19" s="72">
        <f>'2020'!H19*1.02</f>
        <v>4621.62</v>
      </c>
      <c r="I19" s="72"/>
      <c r="J19" s="72"/>
      <c r="K19" s="72"/>
      <c r="L19" s="72"/>
    </row>
    <row r="20" spans="1:12" s="78" customFormat="1" ht="12.95" customHeight="1" thickBot="1">
      <c r="A20" s="136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</row>
    <row r="21" spans="1:12" s="78" customFormat="1" ht="27" customHeight="1" thickBot="1">
      <c r="A21" s="134" t="s">
        <v>46</v>
      </c>
      <c r="B21" s="135">
        <f t="shared" si="0"/>
        <v>481404.68100000004</v>
      </c>
      <c r="C21" s="135"/>
      <c r="D21" s="135">
        <f>SUM(D22:D25)</f>
        <v>56041.331000000006</v>
      </c>
      <c r="E21" s="135">
        <f>SUM(E22:E25)</f>
        <v>248621.74999999997</v>
      </c>
      <c r="F21" s="135">
        <f>SUM(F22:F25)</f>
        <v>70876.27</v>
      </c>
      <c r="G21" s="135">
        <f>SUM(G22:G25)</f>
        <v>39452.58</v>
      </c>
      <c r="H21" s="135">
        <f>SUM(H22:H25)</f>
        <v>66412.75</v>
      </c>
      <c r="I21" s="72"/>
      <c r="J21" s="72"/>
      <c r="K21" s="72"/>
      <c r="L21" s="72"/>
    </row>
    <row r="22" spans="1:12" s="78" customFormat="1" ht="12.95" customHeight="1" thickBot="1">
      <c r="A22" s="136" t="s">
        <v>8</v>
      </c>
      <c r="B22" s="72">
        <f t="shared" si="0"/>
        <v>384659.68000000005</v>
      </c>
      <c r="C22" s="72"/>
      <c r="D22" s="72">
        <f>'2020'!D22*1.03</f>
        <v>44826.630000000005</v>
      </c>
      <c r="E22" s="72">
        <f>'2020'!E22*1.03</f>
        <v>216384.46</v>
      </c>
      <c r="F22" s="72">
        <f>'2020'!F22*1.03</f>
        <v>61610.48</v>
      </c>
      <c r="G22" s="72">
        <f>'2020'!G22*1.03</f>
        <v>28950.21</v>
      </c>
      <c r="H22" s="72">
        <f>'2020'!H22*1.03</f>
        <v>32887.9</v>
      </c>
      <c r="I22" s="72"/>
      <c r="J22" s="72"/>
      <c r="K22" s="72"/>
      <c r="L22" s="72"/>
    </row>
    <row r="23" spans="1:12" s="78" customFormat="1" ht="12.95" customHeight="1" thickBot="1">
      <c r="A23" s="136" t="s">
        <v>9</v>
      </c>
      <c r="B23" s="72">
        <f t="shared" si="0"/>
        <v>30984.275000000001</v>
      </c>
      <c r="C23" s="72"/>
      <c r="D23" s="72">
        <f>'2020'!D23*1.01</f>
        <v>2987.0749999999998</v>
      </c>
      <c r="E23" s="72">
        <f>'2020'!E23*1.01</f>
        <v>12549.25</v>
      </c>
      <c r="F23" s="72">
        <f>'2020'!F23*1.01</f>
        <v>3594.59</v>
      </c>
      <c r="G23" s="72">
        <f>'2020'!G23*1.01</f>
        <v>4178.37</v>
      </c>
      <c r="H23" s="72">
        <f>'2020'!H23*1.01</f>
        <v>7674.99</v>
      </c>
      <c r="I23" s="72"/>
      <c r="J23" s="72"/>
      <c r="K23" s="72"/>
      <c r="L23" s="72"/>
    </row>
    <row r="24" spans="1:12" s="78" customFormat="1" ht="12.95" customHeight="1" thickBot="1">
      <c r="A24" s="136" t="s">
        <v>10</v>
      </c>
      <c r="B24" s="72">
        <f t="shared" si="0"/>
        <v>48435.72</v>
      </c>
      <c r="C24" s="72"/>
      <c r="D24" s="72">
        <f>'2020'!D24*1.02</f>
        <v>6100.62</v>
      </c>
      <c r="E24" s="72">
        <f>'2020'!E24*1.02</f>
        <v>16505.64</v>
      </c>
      <c r="F24" s="72">
        <f>'2020'!F24*1.02</f>
        <v>4753.2</v>
      </c>
      <c r="G24" s="72">
        <f>'2020'!G24*1.02</f>
        <v>2230.7400000000002</v>
      </c>
      <c r="H24" s="72">
        <f>'2020'!H24*1.02</f>
        <v>18845.52</v>
      </c>
      <c r="I24" s="72"/>
      <c r="J24" s="72"/>
      <c r="K24" s="72"/>
      <c r="L24" s="72"/>
    </row>
    <row r="25" spans="1:12" s="78" customFormat="1" ht="12.95" customHeight="1" thickBot="1">
      <c r="A25" s="137" t="s">
        <v>76</v>
      </c>
      <c r="B25" s="72">
        <f t="shared" si="0"/>
        <v>17325.006000000001</v>
      </c>
      <c r="C25" s="72"/>
      <c r="D25" s="72">
        <f>'2020'!D25*1.02</f>
        <v>2127.0060000000003</v>
      </c>
      <c r="E25" s="72">
        <f>'2020'!E25*1.02</f>
        <v>3182.4</v>
      </c>
      <c r="F25" s="72">
        <f>'2020'!F25*1.02</f>
        <v>918</v>
      </c>
      <c r="G25" s="72">
        <f>'2020'!G25*1.02</f>
        <v>4093.26</v>
      </c>
      <c r="H25" s="72">
        <f>'2020'!H25*1.02</f>
        <v>7004.34</v>
      </c>
      <c r="I25" s="72"/>
      <c r="J25" s="72"/>
      <c r="K25" s="72"/>
      <c r="L25" s="72"/>
    </row>
    <row r="26" spans="1:12" s="78" customFormat="1" ht="12.95" customHeight="1" thickBot="1">
      <c r="A26" s="136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</row>
    <row r="27" spans="1:12" s="78" customFormat="1" ht="18" customHeight="1" thickBot="1">
      <c r="A27" s="134" t="s">
        <v>47</v>
      </c>
      <c r="B27" s="135">
        <f t="shared" si="0"/>
        <v>167485.97500000001</v>
      </c>
      <c r="C27" s="135"/>
      <c r="D27" s="135">
        <f>SUM(D28:D31)</f>
        <v>17678.275000000001</v>
      </c>
      <c r="E27" s="135">
        <f>SUM(E28:E31)</f>
        <v>50952.800000000003</v>
      </c>
      <c r="F27" s="135">
        <f>SUM(F28:F31)</f>
        <v>14564.3</v>
      </c>
      <c r="G27" s="135">
        <f>SUM(G28:G31)</f>
        <v>15145.230000000001</v>
      </c>
      <c r="H27" s="135">
        <f>SUM(H28:H31)</f>
        <v>69145.37</v>
      </c>
      <c r="I27" s="72"/>
      <c r="J27" s="72"/>
      <c r="K27" s="72"/>
      <c r="L27" s="72"/>
    </row>
    <row r="28" spans="1:12" s="78" customFormat="1" ht="12.95" customHeight="1" thickBot="1">
      <c r="A28" s="136" t="s">
        <v>8</v>
      </c>
      <c r="B28" s="72">
        <f t="shared" si="0"/>
        <v>123509.36</v>
      </c>
      <c r="C28" s="72"/>
      <c r="D28" s="72">
        <f>'2020'!D28*1.03</f>
        <v>11395.92</v>
      </c>
      <c r="E28" s="72">
        <f>'2020'!E28*1.03</f>
        <v>29403.41</v>
      </c>
      <c r="F28" s="72">
        <f>'2020'!F28*1.03</f>
        <v>8371.84</v>
      </c>
      <c r="G28" s="72">
        <f>'2020'!G28*1.03</f>
        <v>8725.130000000001</v>
      </c>
      <c r="H28" s="72">
        <f>'2020'!H28*1.03</f>
        <v>65613.06</v>
      </c>
      <c r="I28" s="72"/>
      <c r="J28" s="72"/>
      <c r="K28" s="72"/>
      <c r="L28" s="72"/>
    </row>
    <row r="29" spans="1:12" s="78" customFormat="1" ht="12.95" customHeight="1" thickBot="1">
      <c r="A29" s="136" t="s">
        <v>9</v>
      </c>
      <c r="B29" s="72">
        <f t="shared" si="0"/>
        <v>19385.434999999998</v>
      </c>
      <c r="C29" s="72"/>
      <c r="D29" s="72">
        <f>'2020'!D29*1.01</f>
        <v>3433.4949999999999</v>
      </c>
      <c r="E29" s="72">
        <f>'2020'!E29*1.01</f>
        <v>8977.89</v>
      </c>
      <c r="F29" s="72">
        <f>'2020'!F29*1.01</f>
        <v>2571.46</v>
      </c>
      <c r="G29" s="72">
        <f>'2020'!G29*1.01</f>
        <v>3686.5</v>
      </c>
      <c r="H29" s="72">
        <f>'2020'!H29*1.01</f>
        <v>716.09</v>
      </c>
      <c r="I29" s="72"/>
      <c r="J29" s="72"/>
      <c r="K29" s="72"/>
      <c r="L29" s="72"/>
    </row>
    <row r="30" spans="1:12" s="78" customFormat="1" ht="12.95" customHeight="1" thickBot="1">
      <c r="A30" s="136" t="s">
        <v>10</v>
      </c>
      <c r="B30" s="72">
        <f t="shared" si="0"/>
        <v>16593.36</v>
      </c>
      <c r="C30" s="72"/>
      <c r="D30" s="72">
        <f>'2020'!D30*1.02</f>
        <v>1161.78</v>
      </c>
      <c r="E30" s="72">
        <f>'2020'!E30*1.02</f>
        <v>10738.56</v>
      </c>
      <c r="F30" s="72">
        <f>'2020'!F30*1.02</f>
        <v>3092.64</v>
      </c>
      <c r="G30" s="72">
        <f>'2020'!G30*1.02</f>
        <v>1305.5999999999999</v>
      </c>
      <c r="H30" s="72">
        <f>'2020'!H30*1.02</f>
        <v>294.78000000000003</v>
      </c>
      <c r="I30" s="72"/>
      <c r="J30" s="72"/>
      <c r="K30" s="72"/>
      <c r="L30" s="72"/>
    </row>
    <row r="31" spans="1:12" s="78" customFormat="1" ht="12.95" customHeight="1" thickBot="1">
      <c r="A31" s="137" t="s">
        <v>76</v>
      </c>
      <c r="B31" s="72">
        <f t="shared" si="0"/>
        <v>7997.82</v>
      </c>
      <c r="C31" s="72"/>
      <c r="D31" s="72">
        <f>'2020'!D31*1.02</f>
        <v>1687.08</v>
      </c>
      <c r="E31" s="72">
        <f>'2020'!E31*1.02</f>
        <v>1832.94</v>
      </c>
      <c r="F31" s="72">
        <f>'2020'!F31*1.02</f>
        <v>528.36</v>
      </c>
      <c r="G31" s="72">
        <f>'2020'!G31*1.02</f>
        <v>1428</v>
      </c>
      <c r="H31" s="72">
        <f>'2020'!H31*1.02</f>
        <v>2521.44</v>
      </c>
      <c r="I31" s="72"/>
      <c r="J31" s="72"/>
      <c r="K31" s="72"/>
      <c r="L31" s="72"/>
    </row>
    <row r="32" spans="1:12" s="78" customFormat="1" ht="12.95" customHeight="1" thickBot="1">
      <c r="A32" s="136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</row>
    <row r="33" spans="1:12" s="78" customFormat="1" ht="39" customHeight="1" thickBot="1">
      <c r="A33" s="134" t="s">
        <v>48</v>
      </c>
      <c r="B33" s="135">
        <f t="shared" si="0"/>
        <v>45578.32</v>
      </c>
      <c r="C33" s="135"/>
      <c r="D33" s="135">
        <f>SUM(D34:D37)</f>
        <v>3656.8500000000004</v>
      </c>
      <c r="E33" s="135">
        <f>SUM(E34:E37)</f>
        <v>16224.900000000001</v>
      </c>
      <c r="F33" s="135">
        <f>SUM(F34:F37)</f>
        <v>4641.45</v>
      </c>
      <c r="G33" s="135">
        <f>SUM(G34:G37)</f>
        <v>3140.21</v>
      </c>
      <c r="H33" s="135">
        <f>SUM(H34:H37)</f>
        <v>17914.91</v>
      </c>
      <c r="I33" s="72"/>
      <c r="J33" s="72"/>
      <c r="K33" s="72"/>
      <c r="L33" s="72"/>
    </row>
    <row r="34" spans="1:12" s="78" customFormat="1" ht="12.95" customHeight="1" thickBot="1">
      <c r="A34" s="136" t="s">
        <v>8</v>
      </c>
      <c r="B34" s="72">
        <f t="shared" si="0"/>
        <v>0</v>
      </c>
      <c r="C34" s="72"/>
      <c r="D34" s="72">
        <v>0</v>
      </c>
      <c r="E34" s="72">
        <v>0</v>
      </c>
      <c r="F34" s="72">
        <v>0</v>
      </c>
      <c r="G34" s="72">
        <v>0</v>
      </c>
      <c r="H34" s="72">
        <v>0</v>
      </c>
      <c r="I34" s="72"/>
      <c r="J34" s="72"/>
      <c r="K34" s="72"/>
      <c r="L34" s="72"/>
    </row>
    <row r="35" spans="1:12" s="78" customFormat="1" ht="12.95" customHeight="1" thickBot="1">
      <c r="A35" s="136" t="s">
        <v>9</v>
      </c>
      <c r="B35" s="72">
        <f t="shared" si="0"/>
        <v>30583.81</v>
      </c>
      <c r="C35" s="72"/>
      <c r="D35" s="72">
        <f>'2020'!D35*1.01</f>
        <v>1787.7</v>
      </c>
      <c r="E35" s="72">
        <f>'2020'!E35*1.01</f>
        <v>7441.68</v>
      </c>
      <c r="F35" s="72">
        <f>'2020'!F35*1.01</f>
        <v>2117.9699999999998</v>
      </c>
      <c r="G35" s="72">
        <f>'2020'!G35*1.01</f>
        <v>2200.79</v>
      </c>
      <c r="H35" s="72">
        <f>'2020'!H35*1.01</f>
        <v>17035.670000000002</v>
      </c>
      <c r="I35" s="72"/>
      <c r="J35" s="72"/>
      <c r="K35" s="72"/>
      <c r="L35" s="72"/>
    </row>
    <row r="36" spans="1:12" s="78" customFormat="1" ht="12.95" customHeight="1" thickBot="1">
      <c r="A36" s="136" t="s">
        <v>10</v>
      </c>
      <c r="B36" s="72">
        <f t="shared" si="0"/>
        <v>13287.029999999999</v>
      </c>
      <c r="C36" s="72"/>
      <c r="D36" s="72">
        <f>'2020'!D36*1.02</f>
        <v>1524.39</v>
      </c>
      <c r="E36" s="72">
        <f>'2020'!E36*1.02</f>
        <v>8237.52</v>
      </c>
      <c r="F36" s="72">
        <f>'2020'!F36*1.02</f>
        <v>2366.4</v>
      </c>
      <c r="G36" s="72">
        <f>'2020'!G36*1.02</f>
        <v>701.76</v>
      </c>
      <c r="H36" s="72">
        <f>'2020'!H36*1.02</f>
        <v>456.96000000000004</v>
      </c>
      <c r="I36" s="72"/>
      <c r="J36" s="72"/>
      <c r="K36" s="72"/>
      <c r="L36" s="72"/>
    </row>
    <row r="37" spans="1:12" s="78" customFormat="1" ht="12.95" customHeight="1" thickBot="1">
      <c r="A37" s="137" t="s">
        <v>76</v>
      </c>
      <c r="B37" s="72">
        <f t="shared" si="0"/>
        <v>1707.48</v>
      </c>
      <c r="C37" s="72"/>
      <c r="D37" s="72">
        <f>'2020'!D37*1.02</f>
        <v>344.76</v>
      </c>
      <c r="E37" s="72">
        <f>'2020'!E37*1.02</f>
        <v>545.70000000000005</v>
      </c>
      <c r="F37" s="72">
        <f>'2020'!F37*1.02</f>
        <v>157.08000000000001</v>
      </c>
      <c r="G37" s="72">
        <f>'2020'!G37*1.02</f>
        <v>237.66</v>
      </c>
      <c r="H37" s="72">
        <f>'2020'!H37*1.02</f>
        <v>422.28000000000003</v>
      </c>
      <c r="I37" s="72"/>
      <c r="J37" s="72"/>
      <c r="K37" s="72"/>
      <c r="L37" s="72"/>
    </row>
    <row r="38" spans="1:12" s="78" customFormat="1" ht="12.95" customHeight="1" thickBot="1">
      <c r="A38" s="136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</row>
    <row r="39" spans="1:12" s="78" customFormat="1" ht="26.1" customHeight="1" thickBot="1">
      <c r="A39" s="134" t="s">
        <v>49</v>
      </c>
      <c r="B39" s="135">
        <f t="shared" si="0"/>
        <v>9297.8549999999996</v>
      </c>
      <c r="C39" s="135"/>
      <c r="D39" s="135">
        <f>SUM(D40:D43)</f>
        <v>1541.105</v>
      </c>
      <c r="E39" s="135">
        <f>SUM(E40:E43)</f>
        <v>4938.25</v>
      </c>
      <c r="F39" s="135">
        <f>SUM(F40:F43)</f>
        <v>1409.5</v>
      </c>
      <c r="G39" s="135">
        <f>SUM(G40:G43)</f>
        <v>470.28999999999996</v>
      </c>
      <c r="H39" s="135">
        <f>SUM(H40:H43)</f>
        <v>938.71</v>
      </c>
      <c r="I39" s="72"/>
      <c r="J39" s="72"/>
      <c r="K39" s="72"/>
      <c r="L39" s="72"/>
    </row>
    <row r="40" spans="1:12" s="78" customFormat="1" ht="12.95" customHeight="1" thickBot="1">
      <c r="A40" s="136" t="s">
        <v>8</v>
      </c>
      <c r="B40" s="72">
        <f t="shared" si="0"/>
        <v>0</v>
      </c>
      <c r="C40" s="72"/>
      <c r="D40" s="72">
        <v>0</v>
      </c>
      <c r="E40" s="72">
        <v>0</v>
      </c>
      <c r="F40" s="72">
        <v>0</v>
      </c>
      <c r="G40" s="72">
        <v>0</v>
      </c>
      <c r="H40" s="72">
        <v>0</v>
      </c>
      <c r="I40" s="72"/>
      <c r="J40" s="72"/>
      <c r="K40" s="72"/>
      <c r="L40" s="72"/>
    </row>
    <row r="41" spans="1:12" s="78" customFormat="1" ht="12.95" customHeight="1" thickBot="1">
      <c r="A41" s="136" t="s">
        <v>9</v>
      </c>
      <c r="B41" s="72">
        <f t="shared" si="0"/>
        <v>7309.875</v>
      </c>
      <c r="C41" s="72"/>
      <c r="D41" s="72">
        <f>'2020'!D41*1.01</f>
        <v>1299.365</v>
      </c>
      <c r="E41" s="72">
        <f>'2020'!E41*1.01</f>
        <v>4386.43</v>
      </c>
      <c r="F41" s="72">
        <f>'2020'!F41*1.01</f>
        <v>1250.3800000000001</v>
      </c>
      <c r="G41" s="72">
        <f>'2020'!G41*1.01</f>
        <v>198.97</v>
      </c>
      <c r="H41" s="72">
        <f>'2020'!H41*1.01</f>
        <v>174.73</v>
      </c>
      <c r="I41" s="72"/>
      <c r="J41" s="72"/>
      <c r="K41" s="72"/>
      <c r="L41" s="72"/>
    </row>
    <row r="42" spans="1:12" s="78" customFormat="1" ht="12.95" customHeight="1" thickBot="1">
      <c r="A42" s="136" t="s">
        <v>10</v>
      </c>
      <c r="B42" s="72">
        <f t="shared" si="0"/>
        <v>0</v>
      </c>
      <c r="C42" s="72"/>
      <c r="D42" s="72">
        <v>0</v>
      </c>
      <c r="E42" s="72">
        <v>0</v>
      </c>
      <c r="F42" s="72">
        <v>0</v>
      </c>
      <c r="G42" s="72">
        <v>0</v>
      </c>
      <c r="H42" s="72">
        <v>0</v>
      </c>
      <c r="I42" s="72"/>
      <c r="J42" s="72"/>
      <c r="K42" s="72"/>
      <c r="L42" s="72"/>
    </row>
    <row r="43" spans="1:12" s="78" customFormat="1" ht="12.95" customHeight="1" thickBot="1">
      <c r="A43" s="137" t="s">
        <v>76</v>
      </c>
      <c r="B43" s="72">
        <f t="shared" si="0"/>
        <v>1987.98</v>
      </c>
      <c r="C43" s="72"/>
      <c r="D43" s="72">
        <f>'2020'!D43*1.02</f>
        <v>241.74</v>
      </c>
      <c r="E43" s="72">
        <f>'2020'!E43*1.02</f>
        <v>551.82000000000005</v>
      </c>
      <c r="F43" s="72">
        <f>'2020'!F43*1.02</f>
        <v>159.12</v>
      </c>
      <c r="G43" s="72">
        <f>'2020'!G43*1.02</f>
        <v>271.32</v>
      </c>
      <c r="H43" s="72">
        <f>'2020'!H43*1.02</f>
        <v>763.98</v>
      </c>
      <c r="I43" s="72"/>
      <c r="J43" s="72"/>
      <c r="K43" s="72"/>
      <c r="L43" s="72"/>
    </row>
    <row r="44" spans="1:12" s="78" customFormat="1" ht="12.95" customHeight="1" thickBot="1">
      <c r="A44" s="138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</row>
    <row r="45" spans="1:12" s="78" customFormat="1" ht="26.1" customHeight="1" thickBot="1">
      <c r="A45" s="134" t="s">
        <v>50</v>
      </c>
      <c r="B45" s="135">
        <f>D45+E45+F45+G45+H45</f>
        <v>2056939.8000000003</v>
      </c>
      <c r="C45" s="135"/>
      <c r="D45" s="135">
        <f>SUM(D46:D49)</f>
        <v>286583</v>
      </c>
      <c r="E45" s="135">
        <f>SUM(E46:E49)</f>
        <v>821718.49</v>
      </c>
      <c r="F45" s="135">
        <f>SUM(F46:F49)</f>
        <v>234389.83</v>
      </c>
      <c r="G45" s="135">
        <f>SUM(G46:G49)</f>
        <v>360542.15</v>
      </c>
      <c r="H45" s="135">
        <f>SUM(H46:H49)</f>
        <v>353706.32999999996</v>
      </c>
      <c r="I45" s="135"/>
      <c r="J45" s="135"/>
      <c r="K45" s="135"/>
      <c r="L45" s="135"/>
    </row>
    <row r="46" spans="1:12" s="78" customFormat="1" ht="12.95" customHeight="1" thickBot="1">
      <c r="A46" s="136" t="s">
        <v>8</v>
      </c>
      <c r="B46" s="72">
        <f t="shared" si="0"/>
        <v>1584511.83</v>
      </c>
      <c r="C46" s="72"/>
      <c r="D46" s="72">
        <f>'2020'!D46*1.03</f>
        <v>225455.67</v>
      </c>
      <c r="E46" s="72">
        <f>'2020'!E46*1.03</f>
        <v>628104.30000000005</v>
      </c>
      <c r="F46" s="72">
        <f>'2020'!F46*1.03</f>
        <v>178835.81</v>
      </c>
      <c r="G46" s="72">
        <f>'2020'!G46*1.03</f>
        <v>308611.69</v>
      </c>
      <c r="H46" s="72">
        <f>'2020'!H46*1.03</f>
        <v>243504.36000000002</v>
      </c>
      <c r="I46" s="72"/>
      <c r="J46" s="72"/>
      <c r="K46" s="72"/>
      <c r="L46" s="72"/>
    </row>
    <row r="47" spans="1:12" s="78" customFormat="1" ht="12.95" customHeight="1" thickBot="1">
      <c r="A47" s="136" t="s">
        <v>9</v>
      </c>
      <c r="B47" s="72">
        <f t="shared" si="0"/>
        <v>181008.56400000001</v>
      </c>
      <c r="C47" s="72"/>
      <c r="D47" s="72">
        <f>'2020'!D47*1.01</f>
        <v>22658.744000000002</v>
      </c>
      <c r="E47" s="72">
        <f>'2020'!E47*1.01</f>
        <v>75015.73</v>
      </c>
      <c r="F47" s="72">
        <f>'2020'!F47*1.01</f>
        <v>21456.44</v>
      </c>
      <c r="G47" s="72">
        <f>'2020'!G47*1.01</f>
        <v>22436.14</v>
      </c>
      <c r="H47" s="72">
        <f>'2020'!H47*1.01</f>
        <v>39441.51</v>
      </c>
      <c r="I47" s="72"/>
      <c r="J47" s="72"/>
      <c r="K47" s="72"/>
      <c r="L47" s="72"/>
    </row>
    <row r="48" spans="1:12" s="78" customFormat="1" ht="12.95" customHeight="1" thickBot="1">
      <c r="A48" s="136" t="s">
        <v>10</v>
      </c>
      <c r="B48" s="72">
        <f t="shared" si="0"/>
        <v>218495.62799999997</v>
      </c>
      <c r="C48" s="72"/>
      <c r="D48" s="72">
        <f>'2020'!D48*1.02</f>
        <v>29134.668000000001</v>
      </c>
      <c r="E48" s="72">
        <f>'2020'!E48*1.02</f>
        <v>102277.44</v>
      </c>
      <c r="F48" s="72">
        <f>'2020'!F48*1.02</f>
        <v>29391.3</v>
      </c>
      <c r="G48" s="72">
        <f>'2020'!G48*1.02</f>
        <v>17023.8</v>
      </c>
      <c r="H48" s="72">
        <f>'2020'!H48*1.02</f>
        <v>40668.42</v>
      </c>
      <c r="I48" s="72"/>
      <c r="J48" s="72"/>
      <c r="K48" s="72"/>
      <c r="L48" s="72"/>
    </row>
    <row r="49" spans="1:12" s="78" customFormat="1" ht="12.95" customHeight="1" thickBot="1">
      <c r="A49" s="137" t="s">
        <v>76</v>
      </c>
      <c r="B49" s="72">
        <f t="shared" si="0"/>
        <v>72923.777999999991</v>
      </c>
      <c r="C49" s="72"/>
      <c r="D49" s="72">
        <f>'2020'!D49*1.02</f>
        <v>9333.9179999999997</v>
      </c>
      <c r="E49" s="72">
        <f>'2020'!E49*1.02</f>
        <v>16321.02</v>
      </c>
      <c r="F49" s="72">
        <f>'2020'!F49*1.02</f>
        <v>4706.28</v>
      </c>
      <c r="G49" s="72">
        <f>'2020'!G49*1.02</f>
        <v>12470.52</v>
      </c>
      <c r="H49" s="72">
        <f>'2020'!H49*1.02</f>
        <v>30092.04</v>
      </c>
      <c r="I49" s="72"/>
      <c r="J49" s="72"/>
      <c r="K49" s="72"/>
      <c r="L49" s="72"/>
    </row>
    <row r="50" spans="1:12" s="78" customFormat="1" ht="12.95" customHeight="1" thickBot="1">
      <c r="A50" s="138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</row>
    <row r="51" spans="1:12" s="78" customFormat="1" ht="12.95" customHeight="1" thickBot="1">
      <c r="A51" s="134" t="s">
        <v>51</v>
      </c>
      <c r="B51" s="135">
        <f>SUM(C51:L51)</f>
        <v>125000</v>
      </c>
      <c r="C51" s="135"/>
      <c r="D51" s="135"/>
      <c r="E51" s="135"/>
      <c r="F51" s="135"/>
      <c r="G51" s="135"/>
      <c r="H51" s="135"/>
      <c r="I51" s="135">
        <f>SUM(I52:I55)</f>
        <v>0</v>
      </c>
      <c r="J51" s="135">
        <f>SUM(J52:J55)</f>
        <v>0</v>
      </c>
      <c r="K51" s="135">
        <f>SUM(K52:K55)</f>
        <v>0</v>
      </c>
      <c r="L51" s="135">
        <f>SUM(L52:L55)</f>
        <v>125000</v>
      </c>
    </row>
    <row r="52" spans="1:12" s="78" customFormat="1" ht="12.95" customHeight="1" thickBot="1">
      <c r="A52" s="136" t="s">
        <v>8</v>
      </c>
      <c r="B52" s="72">
        <f t="shared" ref="B52:B55" si="1">SUM(C52:L52)</f>
        <v>68691</v>
      </c>
      <c r="C52" s="72"/>
      <c r="D52" s="72"/>
      <c r="E52" s="72"/>
      <c r="F52" s="72"/>
      <c r="G52" s="72"/>
      <c r="H52" s="72"/>
      <c r="I52" s="72">
        <v>0</v>
      </c>
      <c r="J52" s="72"/>
      <c r="K52" s="72">
        <v>0</v>
      </c>
      <c r="L52" s="72">
        <f>1334+168+67189</f>
        <v>68691</v>
      </c>
    </row>
    <row r="53" spans="1:12" s="78" customFormat="1" ht="12.95" customHeight="1" thickBot="1">
      <c r="A53" s="136" t="s">
        <v>9</v>
      </c>
      <c r="B53" s="72">
        <f t="shared" si="1"/>
        <v>50309</v>
      </c>
      <c r="C53" s="72"/>
      <c r="D53" s="72"/>
      <c r="E53" s="72"/>
      <c r="F53" s="72"/>
      <c r="G53" s="72"/>
      <c r="H53" s="72"/>
      <c r="I53" s="72"/>
      <c r="J53" s="72"/>
      <c r="K53" s="72"/>
      <c r="L53" s="72">
        <v>50309</v>
      </c>
    </row>
    <row r="54" spans="1:12" s="78" customFormat="1" ht="12.95" customHeight="1" thickBot="1">
      <c r="A54" s="136" t="s">
        <v>10</v>
      </c>
      <c r="B54" s="72">
        <f t="shared" si="1"/>
        <v>4000</v>
      </c>
      <c r="C54" s="72"/>
      <c r="D54" s="72"/>
      <c r="E54" s="72"/>
      <c r="F54" s="72"/>
      <c r="G54" s="72"/>
      <c r="H54" s="72"/>
      <c r="I54" s="72"/>
      <c r="J54" s="72"/>
      <c r="K54" s="72"/>
      <c r="L54" s="72">
        <v>4000</v>
      </c>
    </row>
    <row r="55" spans="1:12" s="78" customFormat="1" ht="12.95" customHeight="1" thickBot="1">
      <c r="A55" s="137" t="s">
        <v>76</v>
      </c>
      <c r="B55" s="72">
        <f t="shared" si="1"/>
        <v>2000</v>
      </c>
      <c r="C55" s="72"/>
      <c r="D55" s="72"/>
      <c r="E55" s="72"/>
      <c r="F55" s="72"/>
      <c r="G55" s="72"/>
      <c r="H55" s="72"/>
      <c r="I55" s="72"/>
      <c r="J55" s="72"/>
      <c r="K55" s="72"/>
      <c r="L55" s="72">
        <v>2000</v>
      </c>
    </row>
    <row r="56" spans="1:12" ht="12.95" customHeight="1" thickBot="1">
      <c r="A56" s="139" t="s">
        <v>52</v>
      </c>
      <c r="B56" s="140">
        <f t="shared" ref="B56:L56" si="2">B45+B51</f>
        <v>2181939.8000000003</v>
      </c>
      <c r="C56" s="140">
        <f t="shared" si="2"/>
        <v>0</v>
      </c>
      <c r="D56" s="140">
        <f t="shared" si="2"/>
        <v>286583</v>
      </c>
      <c r="E56" s="140">
        <f t="shared" si="2"/>
        <v>821718.49</v>
      </c>
      <c r="F56" s="140">
        <f t="shared" si="2"/>
        <v>234389.83</v>
      </c>
      <c r="G56" s="140">
        <f t="shared" si="2"/>
        <v>360542.15</v>
      </c>
      <c r="H56" s="140">
        <f t="shared" si="2"/>
        <v>353706.32999999996</v>
      </c>
      <c r="I56" s="140">
        <f t="shared" si="2"/>
        <v>0</v>
      </c>
      <c r="J56" s="140">
        <f t="shared" si="2"/>
        <v>0</v>
      </c>
      <c r="K56" s="140">
        <f t="shared" si="2"/>
        <v>0</v>
      </c>
      <c r="L56" s="140">
        <f t="shared" si="2"/>
        <v>125000</v>
      </c>
    </row>
    <row r="57" spans="1:12" ht="15">
      <c r="A57" s="79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</row>
    <row r="58" spans="1:12" ht="15">
      <c r="A58" s="79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</row>
    <row r="59" spans="1:12" ht="15">
      <c r="A59" s="80"/>
    </row>
  </sheetData>
  <mergeCells count="15">
    <mergeCell ref="A1:L1"/>
    <mergeCell ref="A2:L2"/>
    <mergeCell ref="A3:A7"/>
    <mergeCell ref="B3:B6"/>
    <mergeCell ref="C3:L3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Форма 2</vt:lpstr>
      <vt:lpstr>2019</vt:lpstr>
      <vt:lpstr>2020</vt:lpstr>
      <vt:lpstr>2021</vt:lpstr>
      <vt:lpstr>'Форма 2'!OLE_LINK1</vt:lpstr>
      <vt:lpstr>'2019'!Область_печати</vt:lpstr>
      <vt:lpstr>'Форма 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eludvig</dc:creator>
  <cp:lastModifiedBy>ADanyk</cp:lastModifiedBy>
  <cp:lastPrinted>2020-03-17T03:39:02Z</cp:lastPrinted>
  <dcterms:created xsi:type="dcterms:W3CDTF">2017-03-28T04:39:33Z</dcterms:created>
  <dcterms:modified xsi:type="dcterms:W3CDTF">2020-07-23T23:14:50Z</dcterms:modified>
</cp:coreProperties>
</file>